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3" activeTab="3"/>
  </bookViews>
  <sheets>
    <sheet name="1° grado" sheetId="1" r:id="rId1"/>
    <sheet name="2° grado" sheetId="2" r:id="rId2"/>
    <sheet name="Foglio3" sheetId="3" r:id="rId3"/>
    <sheet name="densità acqua" sheetId="4" r:id="rId4"/>
  </sheets>
  <definedNames>
    <definedName name="_xlnm.Print_Area" localSheetId="0">'1° grado'!$A$1:$E$12</definedName>
    <definedName name="_xlnm.Print_Area" localSheetId="1">'2° grado'!$A$472:$F$480</definedName>
  </definedNames>
  <calcPr fullCalcOnLoad="1"/>
</workbook>
</file>

<file path=xl/sharedStrings.xml><?xml version="1.0" encoding="utf-8"?>
<sst xmlns="http://schemas.openxmlformats.org/spreadsheetml/2006/main" count="1716" uniqueCount="574">
  <si>
    <t>a</t>
  </si>
  <si>
    <t>0,0120 x (0,0250-x) = x (0,0200+x)</t>
  </si>
  <si>
    <t>b</t>
  </si>
  <si>
    <r>
      <t>3e-4 - 0,0120x = 0,0200x + x</t>
    </r>
    <r>
      <rPr>
        <vertAlign val="superscript"/>
        <sz val="11"/>
        <color indexed="8"/>
        <rFont val="Calibri"/>
        <family val="2"/>
      </rPr>
      <t>2</t>
    </r>
  </si>
  <si>
    <t>c</t>
  </si>
  <si>
    <r>
      <t>x</t>
    </r>
    <r>
      <rPr>
        <vertAlign val="superscript"/>
        <sz val="11"/>
        <color indexed="8"/>
        <rFont val="Calibri"/>
        <family val="2"/>
      </rPr>
      <t xml:space="preserve">2  </t>
    </r>
    <r>
      <rPr>
        <sz val="11"/>
        <color theme="1"/>
        <rFont val="Calibri"/>
        <family val="2"/>
      </rPr>
      <t>+ 0,032x - 3,00e-4</t>
    </r>
  </si>
  <si>
    <t>radq delta</t>
  </si>
  <si>
    <t>delta</t>
  </si>
  <si>
    <t>+</t>
  </si>
  <si>
    <t>-</t>
  </si>
  <si>
    <t>H+</t>
  </si>
  <si>
    <t>x</t>
  </si>
  <si>
    <t>pH</t>
  </si>
  <si>
    <t>SO42-</t>
  </si>
  <si>
    <t>0,0200-x</t>
  </si>
  <si>
    <t>HSO4-</t>
  </si>
  <si>
    <t>0,0250+x</t>
  </si>
  <si>
    <t>Ka2</t>
  </si>
  <si>
    <t>pOH</t>
  </si>
  <si>
    <t>[OH-]</t>
  </si>
  <si>
    <t>H2</t>
  </si>
  <si>
    <t>HCHO</t>
  </si>
  <si>
    <t>CH3OH</t>
  </si>
  <si>
    <t>E+</t>
  </si>
  <si>
    <t>E-</t>
  </si>
  <si>
    <t>Ecella</t>
  </si>
  <si>
    <t>NO</t>
  </si>
  <si>
    <t>N2</t>
  </si>
  <si>
    <t>O2</t>
  </si>
  <si>
    <t>Kc</t>
  </si>
  <si>
    <t>m</t>
  </si>
  <si>
    <t>MM</t>
  </si>
  <si>
    <t>n</t>
  </si>
  <si>
    <t>Kp</t>
  </si>
  <si>
    <t>n eq</t>
  </si>
  <si>
    <t>alfa</t>
  </si>
  <si>
    <t>[B] eq</t>
  </si>
  <si>
    <t>Kb</t>
  </si>
  <si>
    <t>[B] i</t>
  </si>
  <si>
    <t>Kx</t>
  </si>
  <si>
    <t>M eq</t>
  </si>
  <si>
    <t>V</t>
  </si>
  <si>
    <t>E° cella</t>
  </si>
  <si>
    <t>mol/L</t>
  </si>
  <si>
    <t xml:space="preserve">arrotondato a </t>
  </si>
  <si>
    <r>
      <t>E° Fe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/Fe</t>
    </r>
  </si>
  <si>
    <r>
      <t>E° Zn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/Zn</t>
    </r>
  </si>
  <si>
    <r>
      <t>K</t>
    </r>
    <r>
      <rPr>
        <vertAlign val="subscript"/>
        <sz val="12"/>
        <color indexed="8"/>
        <rFont val="Calibri"/>
        <family val="2"/>
      </rPr>
      <t>eq</t>
    </r>
  </si>
  <si>
    <r>
      <t>[Fe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iniziale</t>
    </r>
  </si>
  <si>
    <t>risoluzione equazione 1° grado</t>
  </si>
  <si>
    <r>
      <t>[Zn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iniziale</t>
    </r>
  </si>
  <si>
    <r>
      <t>[Fe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equilibrio</t>
    </r>
  </si>
  <si>
    <r>
      <t>[Zn</t>
    </r>
    <r>
      <rPr>
        <vertAlign val="superscript"/>
        <sz val="12"/>
        <color indexed="8"/>
        <rFont val="Calibri"/>
        <family val="2"/>
      </rPr>
      <t>2+</t>
    </r>
    <r>
      <rPr>
        <sz val="12"/>
        <color indexed="8"/>
        <rFont val="Calibri"/>
        <family val="2"/>
      </rPr>
      <t>]</t>
    </r>
    <r>
      <rPr>
        <vertAlign val="subscript"/>
        <sz val="12"/>
        <color indexed="8"/>
        <rFont val="Calibri"/>
        <family val="2"/>
      </rPr>
      <t>equilibrio</t>
    </r>
  </si>
  <si>
    <t>SbCl3</t>
  </si>
  <si>
    <t>Cl2</t>
  </si>
  <si>
    <t>SbCl5</t>
  </si>
  <si>
    <t>M</t>
  </si>
  <si>
    <t>p</t>
  </si>
  <si>
    <t>A</t>
  </si>
  <si>
    <t>B</t>
  </si>
  <si>
    <t>C</t>
  </si>
  <si>
    <t>Pt</t>
  </si>
  <si>
    <t>D</t>
  </si>
  <si>
    <t>CH4</t>
  </si>
  <si>
    <t>CO2</t>
  </si>
  <si>
    <t>CO</t>
  </si>
  <si>
    <t>T</t>
  </si>
  <si>
    <t>x HCl</t>
  </si>
  <si>
    <t>x H2</t>
  </si>
  <si>
    <t>p HCl</t>
  </si>
  <si>
    <t>P H2</t>
  </si>
  <si>
    <t>Cu</t>
  </si>
  <si>
    <t>Mg</t>
  </si>
  <si>
    <t>Fe</t>
  </si>
  <si>
    <t>Ag</t>
  </si>
  <si>
    <t>N2O5</t>
  </si>
  <si>
    <t>N2O3</t>
  </si>
  <si>
    <t>COCl2</t>
  </si>
  <si>
    <t>B5H9</t>
  </si>
  <si>
    <t>B2H6</t>
  </si>
  <si>
    <t>C5H6</t>
  </si>
  <si>
    <t>C2H5OH</t>
  </si>
  <si>
    <t>H2O</t>
  </si>
  <si>
    <t>H°</t>
  </si>
  <si>
    <t>NO2</t>
  </si>
  <si>
    <t>N2O4</t>
  </si>
  <si>
    <t>S°</t>
  </si>
  <si>
    <t>NH3</t>
  </si>
  <si>
    <t>CH3COO-</t>
  </si>
  <si>
    <t>C4H10</t>
  </si>
  <si>
    <t>Ptot</t>
  </si>
  <si>
    <t>2 C4H10</t>
  </si>
  <si>
    <t>13 O2</t>
  </si>
  <si>
    <t>8 CO2</t>
  </si>
  <si>
    <t>10 H2O</t>
  </si>
  <si>
    <t>- 0,150</t>
  </si>
  <si>
    <t>+ 0,599</t>
  </si>
  <si>
    <t>+ 0,748</t>
  </si>
  <si>
    <t>0,599</t>
  </si>
  <si>
    <t>0,748</t>
  </si>
  <si>
    <t>---&gt;</t>
  </si>
  <si>
    <t>ni</t>
  </si>
  <si>
    <t>nf</t>
  </si>
  <si>
    <t>% v/v</t>
  </si>
  <si>
    <t>pi = nf·R·T/Vtot</t>
  </si>
  <si>
    <t>pi (atm)</t>
  </si>
  <si>
    <t>Vi (L)</t>
  </si>
  <si>
    <t>Vi = pi·Vtot/Ptot</t>
  </si>
  <si>
    <t>P tot (atm)</t>
  </si>
  <si>
    <t>% = Vi·100/Vtot</t>
  </si>
  <si>
    <t>&lt;---&gt;</t>
  </si>
  <si>
    <t>m (g)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</si>
  <si>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H° (J/mol)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</si>
  <si>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S° (J/mol·K)</t>
    </r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</si>
  <si>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G° (J/mol)</t>
    </r>
  </si>
  <si>
    <t>ln Kp</t>
  </si>
  <si>
    <t>Kp = Kc = Kx</t>
  </si>
  <si>
    <t>H° (kJ/mol)</t>
  </si>
  <si>
    <t>S° (kJ/mol·K)</t>
  </si>
  <si>
    <t>ni (mol)</t>
  </si>
  <si>
    <t>nf (mol)</t>
  </si>
  <si>
    <t>Ca(OH)2</t>
  </si>
  <si>
    <t>2 NaOH</t>
  </si>
  <si>
    <t>2 Cl2</t>
  </si>
  <si>
    <t>-----&gt;</t>
  </si>
  <si>
    <t>Ca(ClO)2</t>
  </si>
  <si>
    <t>2 NaCl</t>
  </si>
  <si>
    <t>2 H2O</t>
  </si>
  <si>
    <t>MM (g/mol)</t>
  </si>
  <si>
    <t>n (mol)</t>
  </si>
  <si>
    <t>M (mol/L)</t>
  </si>
  <si>
    <t>NiCl2</t>
  </si>
  <si>
    <t>CdCl2</t>
  </si>
  <si>
    <t>Cl-</t>
  </si>
  <si>
    <t>Cl2/Cl-</t>
  </si>
  <si>
    <t>Cd2+/Cd</t>
  </si>
  <si>
    <t>Ni2+/Ni</t>
  </si>
  <si>
    <t>O2/H2O</t>
  </si>
  <si>
    <t>H2O/H2</t>
  </si>
  <si>
    <t>1-3</t>
  </si>
  <si>
    <t>2-3</t>
  </si>
  <si>
    <t>1-4</t>
  </si>
  <si>
    <t>1-5</t>
  </si>
  <si>
    <t>2-4</t>
  </si>
  <si>
    <t>2-5</t>
  </si>
  <si>
    <t>Na+</t>
  </si>
  <si>
    <t>Na+/Na</t>
  </si>
  <si>
    <t>OH-</t>
  </si>
  <si>
    <t>E</t>
  </si>
  <si>
    <t>F</t>
  </si>
  <si>
    <t>CrCl2</t>
  </si>
  <si>
    <t>CrBr3</t>
  </si>
  <si>
    <t>Sn2+/Sn</t>
  </si>
  <si>
    <t>Cr3+/Cr2+</t>
  </si>
  <si>
    <t>Sn(NO3)2</t>
  </si>
  <si>
    <t>Br-</t>
  </si>
  <si>
    <t>NO3-</t>
  </si>
  <si>
    <t>NO3-/NO</t>
  </si>
  <si>
    <t>CuO</t>
  </si>
  <si>
    <t>K2Cr2O7</t>
  </si>
  <si>
    <t>HCl</t>
  </si>
  <si>
    <t>CS2</t>
  </si>
  <si>
    <t>3O2</t>
  </si>
  <si>
    <t>2SO2</t>
  </si>
  <si>
    <t>2C6H6(l)</t>
  </si>
  <si>
    <t>15O2(g)</t>
  </si>
  <si>
    <t>12CO2(g)</t>
  </si>
  <si>
    <t>6H2O(l)</t>
  </si>
  <si>
    <t>KCN</t>
  </si>
  <si>
    <t>AgNO3</t>
  </si>
  <si>
    <t>NH4SCN</t>
  </si>
  <si>
    <t>campione</t>
  </si>
  <si>
    <t>CH2O</t>
  </si>
  <si>
    <t>Na2S2O3</t>
  </si>
  <si>
    <t>BrO3- totali</t>
  </si>
  <si>
    <t>Br2 in eccesso</t>
  </si>
  <si>
    <t>Br2 totali</t>
  </si>
  <si>
    <t>Br2 fenolo</t>
  </si>
  <si>
    <t>fenolo</t>
  </si>
  <si>
    <t>Temperatura</t>
  </si>
  <si>
    <t>°C</t>
  </si>
  <si>
    <t>K</t>
  </si>
  <si>
    <t>P</t>
  </si>
  <si>
    <t>nt</t>
  </si>
  <si>
    <t>C2H2</t>
  </si>
  <si>
    <t>xi</t>
  </si>
  <si>
    <t>MnO2</t>
  </si>
  <si>
    <t>Mn</t>
  </si>
  <si>
    <t>mi</t>
  </si>
  <si>
    <t>Mf</t>
  </si>
  <si>
    <t>mf</t>
  </si>
  <si>
    <t>2 NO2</t>
  </si>
  <si>
    <t>media</t>
  </si>
  <si>
    <t>t Student</t>
  </si>
  <si>
    <t>Br2</t>
  </si>
  <si>
    <t>2Br</t>
  </si>
  <si>
    <t>Qr</t>
  </si>
  <si>
    <t>mL</t>
  </si>
  <si>
    <t>M AgNO3</t>
  </si>
  <si>
    <t>n Cl-</t>
  </si>
  <si>
    <t>mg/5 mL</t>
  </si>
  <si>
    <t>mg/L</t>
  </si>
  <si>
    <t>s</t>
  </si>
  <si>
    <t>t · s /radq(n)</t>
  </si>
  <si>
    <t>2B</t>
  </si>
  <si>
    <t>3C</t>
  </si>
  <si>
    <t>1B</t>
  </si>
  <si>
    <t>1A</t>
  </si>
  <si>
    <t>reagenti</t>
  </si>
  <si>
    <t>prodotto</t>
  </si>
  <si>
    <t>perturbazione</t>
  </si>
  <si>
    <t>Qc</t>
  </si>
  <si>
    <t>verifica Kc</t>
  </si>
  <si>
    <t>Cu2O</t>
  </si>
  <si>
    <t>Hg(NO3)2</t>
  </si>
  <si>
    <t>HgCl2</t>
  </si>
  <si>
    <t>EtOH</t>
  </si>
  <si>
    <t>MetOH</t>
  </si>
  <si>
    <t>n e-</t>
  </si>
  <si>
    <t>K+/K</t>
  </si>
  <si>
    <t>Cr2O72-</t>
  </si>
  <si>
    <t>Fe2+</t>
  </si>
  <si>
    <t>Cr3+</t>
  </si>
  <si>
    <t>[Cr3+]</t>
  </si>
  <si>
    <t xml:space="preserve">HClO2 </t>
  </si>
  <si>
    <t>kcal</t>
  </si>
  <si>
    <t>kJ</t>
  </si>
  <si>
    <t>d</t>
  </si>
  <si>
    <t>a-c</t>
  </si>
  <si>
    <t>a-d</t>
  </si>
  <si>
    <t>b-c</t>
  </si>
  <si>
    <t>b-d</t>
  </si>
  <si>
    <t>all'equilibrio</t>
  </si>
  <si>
    <t>(mol/L)</t>
  </si>
  <si>
    <t xml:space="preserve">M' </t>
  </si>
  <si>
    <t xml:space="preserve">M'' </t>
  </si>
  <si>
    <t>iniziale</t>
  </si>
  <si>
    <t>M''</t>
  </si>
  <si>
    <t>Reazione</t>
  </si>
  <si>
    <t>+0,10</t>
  </si>
  <si>
    <t>+0,00</t>
  </si>
  <si>
    <t>+0,50</t>
  </si>
  <si>
    <t>l'equilibrio retrocede</t>
  </si>
  <si>
    <t>l'equilibrio avanza</t>
  </si>
  <si>
    <t>Ca2+</t>
  </si>
  <si>
    <t>IO3-</t>
  </si>
  <si>
    <t>V1</t>
  </si>
  <si>
    <t>V2</t>
  </si>
  <si>
    <t>[H+]1</t>
  </si>
  <si>
    <t>pH1</t>
  </si>
  <si>
    <t>pH2</t>
  </si>
  <si>
    <t>[H+]2</t>
  </si>
  <si>
    <t>Ca1</t>
  </si>
  <si>
    <t>Ca2</t>
  </si>
  <si>
    <t>Ca</t>
  </si>
  <si>
    <t>[H+]</t>
  </si>
  <si>
    <t>alfa1</t>
  </si>
  <si>
    <t>alfa2</t>
  </si>
  <si>
    <t>e-</t>
  </si>
  <si>
    <t>kg</t>
  </si>
  <si>
    <t>p+</t>
  </si>
  <si>
    <t>g</t>
  </si>
  <si>
    <t>1 u</t>
  </si>
  <si>
    <t>PA</t>
  </si>
  <si>
    <t>K2C2O4</t>
  </si>
  <si>
    <t>C2O42-</t>
  </si>
  <si>
    <t xml:space="preserve">(NH4)2C2O4 </t>
  </si>
  <si>
    <t>(NH4)2CO3</t>
  </si>
  <si>
    <t>n C2O42-</t>
  </si>
  <si>
    <t>nNH4+</t>
  </si>
  <si>
    <t>nCO3(2-)</t>
  </si>
  <si>
    <t>NH4+</t>
  </si>
  <si>
    <t>Ka1</t>
  </si>
  <si>
    <t>[HCO3-]</t>
  </si>
  <si>
    <t>[H2CO3]</t>
  </si>
  <si>
    <t>[CO32-]</t>
  </si>
  <si>
    <t>pKa1</t>
  </si>
  <si>
    <t>Pi</t>
  </si>
  <si>
    <t>eq</t>
  </si>
  <si>
    <t>+CO2</t>
  </si>
  <si>
    <t>+NH3</t>
  </si>
  <si>
    <t>NH4Cl</t>
  </si>
  <si>
    <t>alanina</t>
  </si>
  <si>
    <t>azoto</t>
  </si>
  <si>
    <t>acido borico</t>
  </si>
  <si>
    <t>solubilità</t>
  </si>
  <si>
    <t>g/L</t>
  </si>
  <si>
    <t>M acido borico</t>
  </si>
  <si>
    <t>M HCl</t>
  </si>
  <si>
    <t>M NaOH</t>
  </si>
  <si>
    <t>mol H+/50 mL</t>
  </si>
  <si>
    <t>mol NH3/50 mL</t>
  </si>
  <si>
    <t>mol NH3/500 mL</t>
  </si>
  <si>
    <t>g NH4Cl/500 mL</t>
  </si>
  <si>
    <t>mix</t>
  </si>
  <si>
    <t>azoto totale</t>
  </si>
  <si>
    <t>N H2SO4</t>
  </si>
  <si>
    <t>eq H2SO4/50 mL</t>
  </si>
  <si>
    <t>eq NaOH/50 mL</t>
  </si>
  <si>
    <t>eq azoto/50 mL</t>
  </si>
  <si>
    <t>eq azoto/500 mL</t>
  </si>
  <si>
    <t>azoto ammoniacale</t>
  </si>
  <si>
    <t>azoto proteico</t>
  </si>
  <si>
    <t>mol/500 mL</t>
  </si>
  <si>
    <t>g alanina/500 mL</t>
  </si>
  <si>
    <t>% NH4Cl</t>
  </si>
  <si>
    <t>% alanina</t>
  </si>
  <si>
    <t>% inerte</t>
  </si>
  <si>
    <t>11/2 O2</t>
  </si>
  <si>
    <t>kJ/mol</t>
  </si>
  <si>
    <t>=</t>
  </si>
  <si>
    <t>eq As2O3</t>
  </si>
  <si>
    <t>eq I2/37,95</t>
  </si>
  <si>
    <t>eq S2O3(2-)/42,56</t>
  </si>
  <si>
    <t>eq S2O3(2-)/30</t>
  </si>
  <si>
    <t>m KBrO3</t>
  </si>
  <si>
    <t>N I2</t>
  </si>
  <si>
    <t>N S2O3(2-)</t>
  </si>
  <si>
    <t>n NaOH = n HCl eccesso</t>
  </si>
  <si>
    <t>n HCl totali</t>
  </si>
  <si>
    <t>n HCl reagito</t>
  </si>
  <si>
    <t>n CaCO3</t>
  </si>
  <si>
    <t>m CaCO3</t>
  </si>
  <si>
    <t>n Ag+</t>
  </si>
  <si>
    <t>n SCN-</t>
  </si>
  <si>
    <t>m CaCO3 campione</t>
  </si>
  <si>
    <t>n Ca2+ totali</t>
  </si>
  <si>
    <t>n Cl- da CaCl2</t>
  </si>
  <si>
    <t>n Cl- totali</t>
  </si>
  <si>
    <t>n Cl- da CaCl2 campione</t>
  </si>
  <si>
    <t>n Cl- totali campione</t>
  </si>
  <si>
    <t>n Ca2+ da CaCO3 campione</t>
  </si>
  <si>
    <t>n Ca2+ totali campione</t>
  </si>
  <si>
    <t>n Ca2+ da CaCl2 campione</t>
  </si>
  <si>
    <t>m CaCl2 campione</t>
  </si>
  <si>
    <t>n Cl- da NaCl campione</t>
  </si>
  <si>
    <t>m NaCl campione</t>
  </si>
  <si>
    <t>M KMnO4</t>
  </si>
  <si>
    <t>N KMnO4</t>
  </si>
  <si>
    <t>N Na2S2O3</t>
  </si>
  <si>
    <t>eq Cl2/500 mL</t>
  </si>
  <si>
    <t>eq Cl2/25,0 mL</t>
  </si>
  <si>
    <t>mol Cl2/2,5 g</t>
  </si>
  <si>
    <t>g Cl2/2,5 g</t>
  </si>
  <si>
    <t>% m/m</t>
  </si>
  <si>
    <t>Dati</t>
  </si>
  <si>
    <t>Calcoli</t>
  </si>
  <si>
    <t>g A/500 mL</t>
  </si>
  <si>
    <t>mL prelevati</t>
  </si>
  <si>
    <t>mL Na2S2O3</t>
  </si>
  <si>
    <t>mL KMnO4</t>
  </si>
  <si>
    <t>MM Cl2</t>
  </si>
  <si>
    <t>mol Cl2/2,5 g A</t>
  </si>
  <si>
    <t>g mix</t>
  </si>
  <si>
    <t>M EDTA</t>
  </si>
  <si>
    <t>mL EDTA</t>
  </si>
  <si>
    <t>mol CaC2O4</t>
  </si>
  <si>
    <t>MM CaC2O4</t>
  </si>
  <si>
    <t>g CaC2O4</t>
  </si>
  <si>
    <t>mol Mg2+ = mol MgSO4</t>
  </si>
  <si>
    <t>MM MgSO4</t>
  </si>
  <si>
    <t>g MgSO4</t>
  </si>
  <si>
    <t>% CaC2O4</t>
  </si>
  <si>
    <t>% MgSO4</t>
  </si>
  <si>
    <t>% inerti</t>
  </si>
  <si>
    <t>eq KMnO4 = eq CaC2O4 = eq Ca2+</t>
  </si>
  <si>
    <t>mol (Ca2+ + Mg2+)</t>
  </si>
  <si>
    <t>n HF</t>
  </si>
  <si>
    <t>n CaCl2</t>
  </si>
  <si>
    <t>n Na2SO4</t>
  </si>
  <si>
    <t>g slt</t>
  </si>
  <si>
    <t>g slz</t>
  </si>
  <si>
    <t>g H2O</t>
  </si>
  <si>
    <t>i HF</t>
  </si>
  <si>
    <t>kg H2O</t>
  </si>
  <si>
    <t>g/mol</t>
  </si>
  <si>
    <t>L</t>
  </si>
  <si>
    <t>N</t>
  </si>
  <si>
    <t>volumi O2</t>
  </si>
  <si>
    <t>KMnO4</t>
  </si>
  <si>
    <t>H2O2</t>
  </si>
  <si>
    <t>Na2C2O4</t>
  </si>
  <si>
    <t>X</t>
  </si>
  <si>
    <t>2 NH3</t>
  </si>
  <si>
    <t>3 H2</t>
  </si>
  <si>
    <t>J/K·mol</t>
  </si>
  <si>
    <r>
      <t>C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H</t>
    </r>
    <r>
      <rPr>
        <b/>
        <vertAlign val="subscript"/>
        <sz val="12"/>
        <color indexed="8"/>
        <rFont val="Calibri"/>
        <family val="2"/>
      </rPr>
      <t>4</t>
    </r>
  </si>
  <si>
    <r>
      <t>3 O</t>
    </r>
    <r>
      <rPr>
        <b/>
        <vertAlign val="subscript"/>
        <sz val="12"/>
        <color indexed="8"/>
        <rFont val="Calibri"/>
        <family val="2"/>
      </rPr>
      <t>2</t>
    </r>
  </si>
  <si>
    <r>
      <t>2 CO</t>
    </r>
    <r>
      <rPr>
        <b/>
        <vertAlign val="subscript"/>
        <sz val="12"/>
        <color indexed="8"/>
        <rFont val="Calibri"/>
        <family val="2"/>
      </rPr>
      <t>2</t>
    </r>
  </si>
  <si>
    <r>
      <t>2 H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O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</si>
  <si>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H°</t>
    </r>
    <r>
      <rPr>
        <vertAlign val="subscript"/>
        <sz val="12"/>
        <color indexed="8"/>
        <rFont val="Calibri"/>
        <family val="2"/>
      </rPr>
      <t>f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</si>
  <si>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H°c</t>
    </r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</si>
  <si>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S°</t>
    </r>
  </si>
  <si>
    <t>kJ/K·mol</t>
  </si>
  <si>
    <r>
      <rPr>
        <sz val="12"/>
        <color indexed="8"/>
        <rFont val="Symbol"/>
        <family val="1"/>
      </rPr>
      <t>D</t>
    </r>
    <r>
      <rPr>
        <sz val="12"/>
        <color indexed="8"/>
        <rFont val="Calibri"/>
        <family val="2"/>
      </rPr>
      <t>G°</t>
    </r>
  </si>
  <si>
    <t>RT</t>
  </si>
  <si>
    <t>Pi·MM</t>
  </si>
  <si>
    <t>densità</t>
  </si>
  <si>
    <t>limitante</t>
  </si>
  <si>
    <t>2 FeS2</t>
  </si>
  <si>
    <t>Fe2O3</t>
  </si>
  <si>
    <t>4 SO2</t>
  </si>
  <si>
    <t>kcal/mol</t>
  </si>
  <si>
    <t>kcal/2 mol</t>
  </si>
  <si>
    <t>cal/mol</t>
  </si>
  <si>
    <t>cal</t>
  </si>
  <si>
    <t>cal/2mol</t>
  </si>
  <si>
    <t>X N2O4</t>
  </si>
  <si>
    <t>X NO2</t>
  </si>
  <si>
    <t>Ks</t>
  </si>
  <si>
    <t>s (mol/L)</t>
  </si>
  <si>
    <t>IDROSSIDI</t>
  </si>
  <si>
    <t>Fe(III)</t>
  </si>
  <si>
    <t>Al(III)</t>
  </si>
  <si>
    <t>Cr(III)</t>
  </si>
  <si>
    <t>Zn(II)</t>
  </si>
  <si>
    <t>Ni(II)</t>
  </si>
  <si>
    <t>Co(II)</t>
  </si>
  <si>
    <t>Pb2+</t>
  </si>
  <si>
    <t>I-</t>
  </si>
  <si>
    <t>I2</t>
  </si>
  <si>
    <t>n H+</t>
  </si>
  <si>
    <t>n NH3</t>
  </si>
  <si>
    <t>n NH4+</t>
  </si>
  <si>
    <t>M NH4+</t>
  </si>
  <si>
    <t>Ka</t>
  </si>
  <si>
    <t>n NH3 rimaste</t>
  </si>
  <si>
    <t>M NH3</t>
  </si>
  <si>
    <t>pH NH3</t>
  </si>
  <si>
    <t>Ka+Cb</t>
  </si>
  <si>
    <t>KaxCa</t>
  </si>
  <si>
    <t>Cb+Ka</t>
  </si>
  <si>
    <t>Kw+KaxCa</t>
  </si>
  <si>
    <t>KaxKw</t>
  </si>
  <si>
    <t>Ka^2</t>
  </si>
  <si>
    <t>Ka^2xCa</t>
  </si>
  <si>
    <t>H+^2</t>
  </si>
  <si>
    <t>Cb/Ka</t>
  </si>
  <si>
    <t>n CO2 + H2O</t>
  </si>
  <si>
    <t>n H2O</t>
  </si>
  <si>
    <t>n H2O da CH4</t>
  </si>
  <si>
    <t>n CO2 da CH4</t>
  </si>
  <si>
    <t>n CO2 da C2H4</t>
  </si>
  <si>
    <t>n H2O da C2H4</t>
  </si>
  <si>
    <t>pKb</t>
  </si>
  <si>
    <t>log [NH4+]</t>
  </si>
  <si>
    <t>log [NH3]</t>
  </si>
  <si>
    <t>log Cs</t>
  </si>
  <si>
    <t>log Cb</t>
  </si>
  <si>
    <t>C2H4</t>
  </si>
  <si>
    <t>deltaH</t>
  </si>
  <si>
    <t>deltaS</t>
  </si>
  <si>
    <t>deltaG</t>
  </si>
  <si>
    <t>J/mol</t>
  </si>
  <si>
    <t>pKa</t>
  </si>
  <si>
    <t>Ca/Cb</t>
  </si>
  <si>
    <t>Cb/Ca</t>
  </si>
  <si>
    <t>n HCOO-</t>
  </si>
  <si>
    <t>M HCOO-</t>
  </si>
  <si>
    <t>M HCOOH</t>
  </si>
  <si>
    <t>HCOOH</t>
  </si>
  <si>
    <t xml:space="preserve">alfa </t>
  </si>
  <si>
    <t>2NH3</t>
  </si>
  <si>
    <t>3H2</t>
  </si>
  <si>
    <t>2NO2</t>
  </si>
  <si>
    <t>A2-</t>
  </si>
  <si>
    <t>HA-</t>
  </si>
  <si>
    <t>H2A</t>
  </si>
  <si>
    <t>K+</t>
  </si>
  <si>
    <t>M H2PO4-</t>
  </si>
  <si>
    <t>M HPO42-</t>
  </si>
  <si>
    <t>HPO4(2-)</t>
  </si>
  <si>
    <t>H2PO4-</t>
  </si>
  <si>
    <t>beta</t>
  </si>
  <si>
    <t>H2PO4-  HPO4--</t>
  </si>
  <si>
    <t>slz iniziale</t>
  </si>
  <si>
    <t>slz finale</t>
  </si>
  <si>
    <t>g/mL</t>
  </si>
  <si>
    <t>g slt/100 g slz</t>
  </si>
  <si>
    <t>n CO2</t>
  </si>
  <si>
    <t>CaCO3</t>
  </si>
  <si>
    <t>Al2(CO3)3</t>
  </si>
  <si>
    <t>molalità</t>
  </si>
  <si>
    <t>mol/kg</t>
  </si>
  <si>
    <t>g Na2CO3</t>
  </si>
  <si>
    <t>g NaHCO3</t>
  </si>
  <si>
    <t>Vb</t>
  </si>
  <si>
    <t>Va</t>
  </si>
  <si>
    <t>1,3-dimetilciclopentano</t>
  </si>
  <si>
    <t>1°</t>
  </si>
  <si>
    <t>2°</t>
  </si>
  <si>
    <t>3°</t>
  </si>
  <si>
    <t>2,3-dimetilbutano</t>
  </si>
  <si>
    <t>H</t>
  </si>
  <si>
    <t>velocità</t>
  </si>
  <si>
    <t>n° atomi</t>
  </si>
  <si>
    <t>n-butano</t>
  </si>
  <si>
    <t>H3PO4</t>
  </si>
  <si>
    <t>PO43-</t>
  </si>
  <si>
    <t>Kc a 450°C</t>
  </si>
  <si>
    <t>Kc a 700°C</t>
  </si>
  <si>
    <t>Kp a 450°C</t>
  </si>
  <si>
    <t>Kp a 700°C</t>
  </si>
  <si>
    <t>catodo</t>
  </si>
  <si>
    <t>anodo</t>
  </si>
  <si>
    <t>H3BO3</t>
  </si>
  <si>
    <t>pH Mario</t>
  </si>
  <si>
    <t>H+ da H3BO3</t>
  </si>
  <si>
    <t>H+ da NH4+</t>
  </si>
  <si>
    <t>H+ da H2O</t>
  </si>
  <si>
    <t>totale</t>
  </si>
  <si>
    <t>totale^2</t>
  </si>
  <si>
    <t>ER% con Rosso Metile</t>
  </si>
  <si>
    <t>SO4(2-)</t>
  </si>
  <si>
    <t>Conduttanza</t>
  </si>
  <si>
    <t>ionica molare</t>
  </si>
  <si>
    <t>a dil infinita</t>
  </si>
  <si>
    <t>mM</t>
  </si>
  <si>
    <t>S/cm</t>
  </si>
  <si>
    <t>ANODO + OSSIDAZIONE</t>
  </si>
  <si>
    <t>CATODO - RIDUZIONE</t>
  </si>
  <si>
    <t>G</t>
  </si>
  <si>
    <t xml:space="preserve">2 - 6 </t>
  </si>
  <si>
    <t>mmol</t>
  </si>
  <si>
    <t>calcio</t>
  </si>
  <si>
    <t>magnesio</t>
  </si>
  <si>
    <t>stronzio</t>
  </si>
  <si>
    <t xml:space="preserve">sodio </t>
  </si>
  <si>
    <t>potassio</t>
  </si>
  <si>
    <t>cloruro</t>
  </si>
  <si>
    <t>nitrato</t>
  </si>
  <si>
    <t>carbonato acido</t>
  </si>
  <si>
    <t>solfato</t>
  </si>
  <si>
    <t>microS/cm</t>
  </si>
  <si>
    <t>milliS/cm</t>
  </si>
  <si>
    <t>As2O3</t>
  </si>
  <si>
    <t>eq/L</t>
  </si>
  <si>
    <t>C2O4(2-)</t>
  </si>
  <si>
    <t>eq/30 mL</t>
  </si>
  <si>
    <t>eq/3,2 g</t>
  </si>
  <si>
    <t>mol/3,2 g</t>
  </si>
  <si>
    <t>KHC2O4</t>
  </si>
  <si>
    <t>mol NaOH</t>
  </si>
  <si>
    <t>g/3,2 g</t>
  </si>
  <si>
    <t>CaC2O4·H2O</t>
  </si>
  <si>
    <t>NaHC2O4</t>
  </si>
  <si>
    <t>H2SO4</t>
  </si>
  <si>
    <t>Vba</t>
  </si>
  <si>
    <t>g K2CO3</t>
  </si>
  <si>
    <t>g KOH</t>
  </si>
  <si>
    <t>KOH + K2CO3</t>
  </si>
  <si>
    <t>KOH</t>
  </si>
  <si>
    <t>K2CO3</t>
  </si>
  <si>
    <t>KHCO3</t>
  </si>
  <si>
    <t>n K2CO3</t>
  </si>
  <si>
    <t>n KOH + n K2CO3</t>
  </si>
  <si>
    <t>n KOH</t>
  </si>
  <si>
    <t>KHCO3 + K2CO3</t>
  </si>
  <si>
    <t>n KHCO3 + n K2CO3</t>
  </si>
  <si>
    <t>n HCl tot</t>
  </si>
  <si>
    <t>n HCl eccesso</t>
  </si>
  <si>
    <t>n NaHCO3 + n Na2CO3</t>
  </si>
  <si>
    <t>n Na2CO3</t>
  </si>
  <si>
    <t>n NaHCO3</t>
  </si>
  <si>
    <t>g NaCl</t>
  </si>
  <si>
    <t xml:space="preserve"> </t>
  </si>
  <si>
    <t>Composto</t>
  </si>
  <si>
    <t>NaOH</t>
  </si>
  <si>
    <t>pendenza</t>
  </si>
  <si>
    <t>intercetta</t>
  </si>
  <si>
    <t xml:space="preserve">Densità acqua </t>
  </si>
  <si>
    <t xml:space="preserve">Volume di 1 g di acqua corretto con la spinta di Archimede </t>
  </si>
  <si>
    <t>Tabella p.61 Dispensa</t>
  </si>
  <si>
    <t xml:space="preserve">Volume di 1 g di acqua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</si>
</sst>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E+00"/>
    <numFmt numFmtId="165" formatCode="0.0000E+00"/>
    <numFmt numFmtId="166" formatCode="0.00000E+00"/>
    <numFmt numFmtId="167" formatCode="0.000000E+00"/>
    <numFmt numFmtId="168" formatCode="0.0000000E+00"/>
    <numFmt numFmtId="169" formatCode="0.00000000E+00"/>
    <numFmt numFmtId="170" formatCode="0.000000000E+00"/>
    <numFmt numFmtId="171" formatCode="0.0000000000E+00"/>
    <numFmt numFmtId="172" formatCode="0.00000000000E+00"/>
    <numFmt numFmtId="173" formatCode="0.000000000000E+00"/>
    <numFmt numFmtId="174" formatCode="0.0000000000000E+00"/>
    <numFmt numFmtId="175" formatCode="0.00000000000000E+00"/>
    <numFmt numFmtId="176" formatCode="0.000000000000000E+00"/>
    <numFmt numFmtId="177" formatCode="0.0000000000000000E+00"/>
    <numFmt numFmtId="178" formatCode="0.00000000000000000E+00"/>
    <numFmt numFmtId="179" formatCode="0.000000000000000000E+00"/>
    <numFmt numFmtId="180" formatCode="0.0000000000000000000E+00"/>
    <numFmt numFmtId="181" formatCode="0.00000000000000000000E+00"/>
    <numFmt numFmtId="182" formatCode="0.000000000000000000000E+00"/>
    <numFmt numFmtId="183" formatCode="0.0E+00"/>
    <numFmt numFmtId="184" formatCode="0.00000"/>
    <numFmt numFmtId="185" formatCode="0.0000"/>
    <numFmt numFmtId="186" formatCode="0.000000"/>
    <numFmt numFmtId="187" formatCode="0.000"/>
    <numFmt numFmtId="188" formatCode="0.00000000"/>
    <numFmt numFmtId="189" formatCode="0.0"/>
    <numFmt numFmtId="190" formatCode="0E+00"/>
    <numFmt numFmtId="191" formatCode="0.000000000"/>
    <numFmt numFmtId="192" formatCode="0.0000000000"/>
    <numFmt numFmtId="193" formatCode="0.0000000"/>
    <numFmt numFmtId="194" formatCode="0.00E+0"/>
    <numFmt numFmtId="195" formatCode="0.000E+0"/>
    <numFmt numFmtId="196" formatCode="0.0000E+0"/>
    <numFmt numFmtId="197" formatCode="0.00000E+0"/>
    <numFmt numFmtId="198" formatCode="0.000000E+0"/>
    <numFmt numFmtId="199" formatCode="0.0E+0"/>
    <numFmt numFmtId="200" formatCode="0.00000000000"/>
    <numFmt numFmtId="201" formatCode="#,##0.0"/>
    <numFmt numFmtId="202" formatCode="#,##0.000"/>
    <numFmt numFmtId="203" formatCode="#,##0.0000"/>
    <numFmt numFmtId="204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Symbol"/>
      <family val="1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Symbol"/>
      <family val="1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sz val="11"/>
      <color theme="1"/>
      <name val="Symbol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rgb="FF0000FF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54" fillId="0" borderId="0" xfId="0" applyNumberFormat="1" applyFont="1" applyAlignment="1">
      <alignment/>
    </xf>
    <xf numFmtId="11" fontId="54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83" fontId="5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1" fontId="5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55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166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94" fontId="55" fillId="0" borderId="10" xfId="0" applyNumberFormat="1" applyFont="1" applyBorder="1" applyAlignment="1">
      <alignment horizontal="center" vertical="center"/>
    </xf>
    <xf numFmtId="198" fontId="55" fillId="0" borderId="10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6" fontId="51" fillId="0" borderId="0" xfId="0" applyNumberFormat="1" applyFont="1" applyAlignment="1">
      <alignment vertical="center"/>
    </xf>
    <xf numFmtId="187" fontId="51" fillId="0" borderId="0" xfId="0" applyNumberFormat="1" applyFont="1" applyAlignment="1">
      <alignment vertical="center"/>
    </xf>
    <xf numFmtId="187" fontId="0" fillId="0" borderId="0" xfId="0" applyNumberFormat="1" applyAlignment="1">
      <alignment vertical="center"/>
    </xf>
    <xf numFmtId="184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88" fontId="0" fillId="0" borderId="0" xfId="0" applyNumberFormat="1" applyAlignment="1">
      <alignment vertical="center"/>
    </xf>
    <xf numFmtId="188" fontId="0" fillId="0" borderId="0" xfId="0" applyNumberFormat="1" applyAlignment="1">
      <alignment horizontal="center" vertical="center"/>
    </xf>
    <xf numFmtId="185" fontId="5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85" fontId="54" fillId="0" borderId="0" xfId="0" applyNumberFormat="1" applyFont="1" applyAlignment="1">
      <alignment vertical="center"/>
    </xf>
    <xf numFmtId="2" fontId="54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54" fillId="0" borderId="0" xfId="0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1" fontId="54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183" fontId="54" fillId="0" borderId="0" xfId="0" applyNumberFormat="1" applyFont="1" applyAlignment="1">
      <alignment vertical="center"/>
    </xf>
    <xf numFmtId="189" fontId="54" fillId="0" borderId="0" xfId="0" applyNumberFormat="1" applyFont="1" applyAlignment="1">
      <alignment horizontal="center" vertical="center"/>
    </xf>
    <xf numFmtId="187" fontId="54" fillId="0" borderId="0" xfId="0" applyNumberFormat="1" applyFont="1" applyAlignment="1">
      <alignment vertical="center"/>
    </xf>
    <xf numFmtId="2" fontId="29" fillId="0" borderId="0" xfId="0" applyNumberFormat="1" applyFont="1" applyAlignment="1">
      <alignment vertical="center"/>
    </xf>
    <xf numFmtId="187" fontId="29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189" fontId="29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93" fontId="54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1" fontId="51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  <xf numFmtId="184" fontId="54" fillId="0" borderId="0" xfId="0" applyNumberFormat="1" applyFont="1" applyAlignment="1">
      <alignment vertical="center"/>
    </xf>
    <xf numFmtId="167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1" fontId="0" fillId="0" borderId="0" xfId="0" applyNumberFormat="1" applyAlignment="1">
      <alignment horizontal="right" vertical="center"/>
    </xf>
    <xf numFmtId="187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3" fontId="0" fillId="0" borderId="0" xfId="0" applyNumberFormat="1" applyAlignment="1">
      <alignment vertical="center"/>
    </xf>
    <xf numFmtId="189" fontId="54" fillId="0" borderId="0" xfId="0" applyNumberFormat="1" applyFont="1" applyAlignment="1">
      <alignment vertical="center"/>
    </xf>
    <xf numFmtId="164" fontId="54" fillId="0" borderId="0" xfId="0" applyNumberFormat="1" applyFont="1" applyAlignment="1">
      <alignment vertical="center"/>
    </xf>
    <xf numFmtId="188" fontId="54" fillId="0" borderId="0" xfId="0" applyNumberFormat="1" applyFont="1" applyAlignment="1">
      <alignment vertical="center"/>
    </xf>
    <xf numFmtId="0" fontId="0" fillId="0" borderId="0" xfId="0" applyAlignment="1" quotePrefix="1">
      <alignment horizontal="center" vertical="center"/>
    </xf>
    <xf numFmtId="0" fontId="58" fillId="0" borderId="0" xfId="0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9" fontId="5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vertical="center"/>
    </xf>
    <xf numFmtId="194" fontId="0" fillId="0" borderId="0" xfId="0" applyNumberFormat="1" applyAlignment="1">
      <alignment horizontal="center" vertical="center"/>
    </xf>
    <xf numFmtId="196" fontId="0" fillId="0" borderId="0" xfId="0" applyNumberFormat="1" applyAlignment="1">
      <alignment vertical="center"/>
    </xf>
    <xf numFmtId="0" fontId="59" fillId="0" borderId="0" xfId="0" applyFont="1" applyAlignment="1" quotePrefix="1">
      <alignment horizontal="center" vertical="center"/>
    </xf>
    <xf numFmtId="187" fontId="51" fillId="0" borderId="0" xfId="0" applyNumberFormat="1" applyFont="1" applyAlignment="1">
      <alignment horizontal="center" vertical="center"/>
    </xf>
    <xf numFmtId="0" fontId="51" fillId="33" borderId="0" xfId="0" applyFont="1" applyFill="1" applyAlignment="1" quotePrefix="1">
      <alignment horizontal="center" vertical="center"/>
    </xf>
    <xf numFmtId="187" fontId="51" fillId="33" borderId="0" xfId="0" applyNumberFormat="1" applyFont="1" applyFill="1" applyAlignment="1">
      <alignment vertical="center"/>
    </xf>
    <xf numFmtId="11" fontId="32" fillId="33" borderId="0" xfId="0" applyNumberFormat="1" applyFont="1" applyFill="1" applyAlignment="1">
      <alignment vertical="center"/>
    </xf>
    <xf numFmtId="190" fontId="0" fillId="0" borderId="0" xfId="0" applyNumberFormat="1" applyAlignment="1">
      <alignment vertical="center"/>
    </xf>
    <xf numFmtId="2" fontId="51" fillId="0" borderId="0" xfId="0" applyNumberFormat="1" applyFont="1" applyAlignment="1">
      <alignment horizontal="center" vertical="center"/>
    </xf>
    <xf numFmtId="2" fontId="51" fillId="33" borderId="0" xfId="0" applyNumberFormat="1" applyFont="1" applyFill="1" applyAlignment="1">
      <alignment horizontal="center" vertical="center"/>
    </xf>
    <xf numFmtId="2" fontId="51" fillId="33" borderId="0" xfId="0" applyNumberFormat="1" applyFont="1" applyFill="1" applyAlignment="1">
      <alignment vertical="center"/>
    </xf>
    <xf numFmtId="0" fontId="60" fillId="0" borderId="0" xfId="0" applyFont="1" applyAlignment="1" quotePrefix="1">
      <alignment horizontal="center" vertical="center"/>
    </xf>
    <xf numFmtId="199" fontId="0" fillId="0" borderId="0" xfId="0" applyNumberFormat="1" applyAlignment="1">
      <alignment horizontal="center" vertical="center"/>
    </xf>
    <xf numFmtId="194" fontId="51" fillId="33" borderId="0" xfId="0" applyNumberFormat="1" applyFont="1" applyFill="1" applyAlignment="1">
      <alignment horizontal="center" vertical="center"/>
    </xf>
    <xf numFmtId="199" fontId="51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87" fontId="0" fillId="0" borderId="14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87" fontId="0" fillId="0" borderId="16" xfId="0" applyNumberFormat="1" applyBorder="1" applyAlignment="1">
      <alignment vertical="center"/>
    </xf>
    <xf numFmtId="187" fontId="0" fillId="0" borderId="17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2" fillId="0" borderId="0" xfId="0" applyFont="1" applyAlignment="1">
      <alignment horizontal="right" vertical="center"/>
    </xf>
    <xf numFmtId="2" fontId="54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183" fontId="51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9" fontId="32" fillId="0" borderId="0" xfId="0" applyNumberFormat="1" applyFont="1" applyAlignment="1">
      <alignment horizontal="center" vertical="center"/>
    </xf>
    <xf numFmtId="185" fontId="32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5" fontId="51" fillId="0" borderId="0" xfId="0" applyNumberFormat="1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11" fontId="29" fillId="0" borderId="0" xfId="0" applyNumberFormat="1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85" fontId="2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 quotePrefix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89" fontId="5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3" fontId="0" fillId="0" borderId="0" xfId="0" applyNumberFormat="1" applyAlignment="1">
      <alignment vertical="center"/>
    </xf>
    <xf numFmtId="189" fontId="32" fillId="0" borderId="0" xfId="0" applyNumberFormat="1" applyFont="1" applyAlignment="1">
      <alignment horizontal="left" vertical="center"/>
    </xf>
    <xf numFmtId="11" fontId="32" fillId="0" borderId="0" xfId="0" applyNumberFormat="1" applyFont="1" applyAlignment="1">
      <alignment vertical="center"/>
    </xf>
    <xf numFmtId="185" fontId="29" fillId="0" borderId="19" xfId="0" applyNumberFormat="1" applyFont="1" applyBorder="1" applyAlignment="1">
      <alignment horizontal="center" vertical="center"/>
    </xf>
    <xf numFmtId="2" fontId="29" fillId="0" borderId="20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/>
    </xf>
    <xf numFmtId="184" fontId="54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 quotePrefix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1" fontId="0" fillId="0" borderId="10" xfId="0" applyNumberFormat="1" applyBorder="1" applyAlignment="1">
      <alignment vertical="center"/>
    </xf>
    <xf numFmtId="2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85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2" fontId="51" fillId="0" borderId="10" xfId="0" applyNumberFormat="1" applyFont="1" applyBorder="1" applyAlignment="1">
      <alignment vertical="center"/>
    </xf>
    <xf numFmtId="1" fontId="54" fillId="0" borderId="0" xfId="0" applyNumberFormat="1" applyFont="1" applyAlignment="1">
      <alignment vertical="center"/>
    </xf>
    <xf numFmtId="2" fontId="0" fillId="0" borderId="0" xfId="0" applyNumberForma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5" fontId="51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189" fontId="55" fillId="0" borderId="0" xfId="0" applyNumberFormat="1" applyFont="1" applyAlignment="1">
      <alignment vertical="center"/>
    </xf>
    <xf numFmtId="0" fontId="56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189" fontId="55" fillId="0" borderId="10" xfId="0" applyNumberFormat="1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187" fontId="0" fillId="0" borderId="0" xfId="0" applyNumberFormat="1" applyAlignment="1" quotePrefix="1">
      <alignment horizontal="right" vertical="center"/>
    </xf>
    <xf numFmtId="183" fontId="0" fillId="0" borderId="19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2" fontId="54" fillId="0" borderId="0" xfId="0" applyNumberFormat="1" applyFont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1" fontId="0" fillId="0" borderId="0" xfId="0" applyNumberFormat="1" applyBorder="1" applyAlignment="1">
      <alignment vertical="center"/>
    </xf>
    <xf numFmtId="0" fontId="54" fillId="0" borderId="0" xfId="0" applyFont="1" applyAlignment="1" quotePrefix="1">
      <alignment horizontal="center" vertical="center"/>
    </xf>
    <xf numFmtId="165" fontId="0" fillId="0" borderId="0" xfId="0" applyNumberFormat="1" applyAlignment="1">
      <alignment horizontal="right" vertical="center"/>
    </xf>
    <xf numFmtId="194" fontId="54" fillId="0" borderId="0" xfId="0" applyNumberFormat="1" applyFont="1" applyAlignment="1">
      <alignment horizontal="center" vertical="center"/>
    </xf>
    <xf numFmtId="194" fontId="0" fillId="0" borderId="17" xfId="0" applyNumberForma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194" fontId="54" fillId="0" borderId="0" xfId="0" applyNumberFormat="1" applyFont="1" applyAlignment="1">
      <alignment vertical="center"/>
    </xf>
    <xf numFmtId="199" fontId="54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right" vertical="center"/>
    </xf>
    <xf numFmtId="2" fontId="54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20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4" fillId="0" borderId="24" xfId="0" applyFont="1" applyBorder="1" applyAlignment="1">
      <alignment horizontal="center" vertical="center"/>
    </xf>
    <xf numFmtId="11" fontId="0" fillId="0" borderId="25" xfId="0" applyNumberFormat="1" applyBorder="1" applyAlignment="1">
      <alignment vertical="center"/>
    </xf>
    <xf numFmtId="11" fontId="54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11" fontId="0" fillId="0" borderId="26" xfId="0" applyNumberFormat="1" applyBorder="1" applyAlignment="1">
      <alignment vertical="center"/>
    </xf>
    <xf numFmtId="11" fontId="54" fillId="0" borderId="0" xfId="0" applyNumberFormat="1" applyFont="1" applyBorder="1" applyAlignment="1">
      <alignment horizontal="center" vertical="center"/>
    </xf>
    <xf numFmtId="187" fontId="0" fillId="0" borderId="27" xfId="0" applyNumberFormat="1" applyBorder="1" applyAlignment="1">
      <alignment vertical="center"/>
    </xf>
    <xf numFmtId="11" fontId="0" fillId="0" borderId="24" xfId="0" applyNumberFormat="1" applyBorder="1" applyAlignment="1">
      <alignment vertical="center"/>
    </xf>
    <xf numFmtId="11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11" fontId="54" fillId="0" borderId="26" xfId="0" applyNumberFormat="1" applyFont="1" applyBorder="1" applyAlignment="1">
      <alignment horizontal="right" vertical="center"/>
    </xf>
    <xf numFmtId="11" fontId="54" fillId="0" borderId="26" xfId="0" applyNumberFormat="1" applyFont="1" applyBorder="1" applyAlignment="1">
      <alignment horizontal="left" vertical="center"/>
    </xf>
    <xf numFmtId="2" fontId="0" fillId="0" borderId="26" xfId="0" applyNumberForma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9" fontId="0" fillId="0" borderId="10" xfId="0" applyNumberForma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89" fontId="54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189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2" fontId="54" fillId="0" borderId="0" xfId="0" applyNumberFormat="1" applyFon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1" fontId="0" fillId="0" borderId="0" xfId="0" applyNumberFormat="1" applyAlignment="1" quotePrefix="1">
      <alignment horizontal="right" vertical="center"/>
    </xf>
    <xf numFmtId="11" fontId="0" fillId="0" borderId="0" xfId="0" applyNumberFormat="1" applyBorder="1" applyAlignment="1">
      <alignment horizontal="center" vertical="center"/>
    </xf>
    <xf numFmtId="187" fontId="54" fillId="0" borderId="10" xfId="0" applyNumberFormat="1" applyFont="1" applyBorder="1" applyAlignment="1">
      <alignment horizontal="center" vertical="center"/>
    </xf>
    <xf numFmtId="11" fontId="0" fillId="0" borderId="27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7" fontId="0" fillId="0" borderId="25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186" fontId="54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187" fontId="54" fillId="0" borderId="0" xfId="0" applyNumberFormat="1" applyFont="1" applyBorder="1" applyAlignment="1">
      <alignment vertical="center"/>
    </xf>
    <xf numFmtId="2" fontId="54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horizontal="right" vertical="center"/>
    </xf>
    <xf numFmtId="2" fontId="61" fillId="0" borderId="0" xfId="0" applyNumberFormat="1" applyFont="1" applyBorder="1" applyAlignment="1">
      <alignment vertical="center"/>
    </xf>
    <xf numFmtId="187" fontId="61" fillId="0" borderId="0" xfId="0" applyNumberFormat="1" applyFont="1" applyBorder="1" applyAlignment="1">
      <alignment vertical="center"/>
    </xf>
    <xf numFmtId="2" fontId="32" fillId="0" borderId="29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11" fontId="0" fillId="0" borderId="33" xfId="0" applyNumberForma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188" fontId="32" fillId="0" borderId="36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54" fillId="0" borderId="0" xfId="0" applyFont="1" applyAlignment="1" quotePrefix="1">
      <alignment vertical="center"/>
    </xf>
    <xf numFmtId="11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85" fontId="0" fillId="0" borderId="0" xfId="0" applyNumberForma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86" fontId="62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3" fontId="0" fillId="0" borderId="0" xfId="0" applyNumberFormat="1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1" fontId="0" fillId="0" borderId="38" xfId="0" applyNumberFormat="1" applyBorder="1" applyAlignment="1">
      <alignment horizontal="center" vertical="center"/>
    </xf>
    <xf numFmtId="11" fontId="0" fillId="0" borderId="36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184" fontId="0" fillId="0" borderId="20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89" fontId="54" fillId="0" borderId="19" xfId="0" applyNumberFormat="1" applyFont="1" applyBorder="1" applyAlignment="1">
      <alignment horizontal="center" vertical="center"/>
    </xf>
    <xf numFmtId="189" fontId="54" fillId="0" borderId="20" xfId="0" applyNumberFormat="1" applyFont="1" applyBorder="1" applyAlignment="1">
      <alignment horizontal="center" vertical="center"/>
    </xf>
    <xf numFmtId="189" fontId="54" fillId="0" borderId="21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87" fontId="54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0" fontId="55" fillId="0" borderId="19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2" fontId="54" fillId="0" borderId="19" xfId="0" applyNumberFormat="1" applyFont="1" applyBorder="1" applyAlignment="1">
      <alignment horizontal="center" vertical="center"/>
    </xf>
    <xf numFmtId="2" fontId="54" fillId="0" borderId="20" xfId="0" applyNumberFormat="1" applyFont="1" applyBorder="1" applyAlignment="1">
      <alignment horizontal="center" vertical="center"/>
    </xf>
    <xf numFmtId="2" fontId="54" fillId="0" borderId="21" xfId="0" applyNumberFormat="1" applyFont="1" applyBorder="1" applyAlignment="1">
      <alignment horizontal="center" vertical="center"/>
    </xf>
    <xf numFmtId="185" fontId="0" fillId="0" borderId="19" xfId="0" applyNumberFormat="1" applyBorder="1" applyAlignment="1">
      <alignment horizontal="center" vertical="center"/>
    </xf>
    <xf numFmtId="185" fontId="0" fillId="0" borderId="20" xfId="0" applyNumberFormat="1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2" fontId="54" fillId="0" borderId="0" xfId="0" applyNumberFormat="1" applyFont="1" applyBorder="1" applyAlignment="1">
      <alignment horizontal="center" vertical="center"/>
    </xf>
    <xf numFmtId="2" fontId="61" fillId="0" borderId="0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11" fontId="54" fillId="0" borderId="39" xfId="0" applyNumberFormat="1" applyFont="1" applyBorder="1" applyAlignment="1">
      <alignment horizontal="center" vertical="center"/>
    </xf>
    <xf numFmtId="11" fontId="54" fillId="0" borderId="40" xfId="0" applyNumberFormat="1" applyFont="1" applyBorder="1" applyAlignment="1">
      <alignment horizontal="center" vertical="center"/>
    </xf>
    <xf numFmtId="11" fontId="54" fillId="0" borderId="41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85" fontId="54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2" fontId="54" fillId="0" borderId="24" xfId="0" applyNumberFormat="1" applyFont="1" applyBorder="1" applyAlignment="1">
      <alignment horizontal="center" vertical="center"/>
    </xf>
    <xf numFmtId="2" fontId="61" fillId="0" borderId="24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189" fontId="51" fillId="0" borderId="21" xfId="0" applyNumberFormat="1" applyFont="1" applyBorder="1" applyAlignment="1">
      <alignment horizontal="center" vertical="center"/>
    </xf>
    <xf numFmtId="193" fontId="51" fillId="0" borderId="10" xfId="0" applyNumberFormat="1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/>
    </xf>
    <xf numFmtId="186" fontId="51" fillId="34" borderId="10" xfId="0" applyNumberFormat="1" applyFont="1" applyFill="1" applyBorder="1" applyAlignment="1">
      <alignment horizontal="center" vertical="center"/>
    </xf>
    <xf numFmtId="186" fontId="62" fillId="34" borderId="10" xfId="0" applyNumberFormat="1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/>
    </xf>
    <xf numFmtId="193" fontId="51" fillId="35" borderId="10" xfId="0" applyNumberFormat="1" applyFont="1" applyFill="1" applyBorder="1" applyAlignment="1">
      <alignment horizontal="center" vertical="center"/>
    </xf>
    <xf numFmtId="186" fontId="62" fillId="35" borderId="10" xfId="0" applyNumberFormat="1" applyFont="1" applyFill="1" applyBorder="1" applyAlignment="1">
      <alignment horizontal="center" vertical="center"/>
    </xf>
    <xf numFmtId="189" fontId="51" fillId="0" borderId="10" xfId="0" applyNumberFormat="1" applyFont="1" applyBorder="1" applyAlignment="1">
      <alignment horizontal="center" vertical="center"/>
    </xf>
    <xf numFmtId="189" fontId="51" fillId="36" borderId="10" xfId="0" applyNumberFormat="1" applyFont="1" applyFill="1" applyBorder="1" applyAlignment="1">
      <alignment horizontal="center" vertical="center"/>
    </xf>
    <xf numFmtId="193" fontId="51" fillId="36" borderId="10" xfId="0" applyNumberFormat="1" applyFont="1" applyFill="1" applyBorder="1" applyAlignment="1">
      <alignment horizontal="center" vertical="center"/>
    </xf>
    <xf numFmtId="188" fontId="51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-0.00925"/>
          <c:w val="0.91075"/>
          <c:h val="0.89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'densità acqua'!$A$5:$A$7</c:f>
              <c:numCache/>
            </c:numRef>
          </c:xVal>
          <c:yVal>
            <c:numRef>
              <c:f>'densità acqua'!$B$5:$B$7</c:f>
              <c:numCache/>
            </c:numRef>
          </c:yVal>
          <c:smooth val="0"/>
        </c:ser>
        <c:axId val="60250535"/>
        <c:axId val="5383904"/>
      </c:scatterChart>
      <c:valAx>
        <c:axId val="60250535"/>
        <c:scaling>
          <c:orientation val="minMax"/>
          <c:max val="26"/>
          <c:min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383904"/>
        <c:crosses val="autoZero"/>
        <c:crossBetween val="midCat"/>
        <c:dispUnits/>
        <c:majorUnit val="0.5"/>
        <c:minorUnit val="0.1"/>
      </c:valAx>
      <c:valAx>
        <c:axId val="5383904"/>
        <c:scaling>
          <c:orientation val="minMax"/>
          <c:max val="0.998"/>
          <c:min val="0.9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Densità (g/mL)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0250535"/>
        <c:crosses val="autoZero"/>
        <c:crossBetween val="midCat"/>
        <c:dispUnits/>
        <c:majorUnit val="0.0005000000000000001"/>
        <c:minorUnit val="5.0000000000000016E-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-0.00525"/>
          <c:w val="0.8715"/>
          <c:h val="0.9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'densità acqua'!$B$28:$B$35</c:f>
              <c:numCache/>
            </c:numRef>
          </c:xVal>
          <c:yVal>
            <c:numRef>
              <c:f>'densità acqua'!$C$28:$C$35</c:f>
              <c:numCache/>
            </c:numRef>
          </c:yVal>
          <c:smooth val="0"/>
        </c:ser>
        <c:axId val="48455137"/>
        <c:axId val="33443050"/>
      </c:scatterChart>
      <c:valAx>
        <c:axId val="48455137"/>
        <c:scaling>
          <c:orientation val="minMax"/>
          <c:max val="3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Temperatura (°C)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crossAx val="33443050"/>
        <c:crosses val="autoZero"/>
        <c:crossBetween val="midCat"/>
        <c:dispUnits/>
        <c:majorUnit val="1"/>
        <c:minorUnit val="0.1"/>
      </c:valAx>
      <c:valAx>
        <c:axId val="33443050"/>
        <c:scaling>
          <c:orientation val="minMax"/>
          <c:max val="1.005"/>
          <c:min val="1.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Volume di 1 g di acqua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corretto con la spinta di Archimede (mL)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8455137"/>
        <c:crosses val="autoZero"/>
        <c:crossBetween val="midCat"/>
        <c:dispUnits/>
        <c:majorUnit val="0.00020000000000000004"/>
        <c:minorUnit val="4.000000000000001E-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9525</xdr:rowOff>
    </xdr:from>
    <xdr:to>
      <xdr:col>6</xdr:col>
      <xdr:colOff>466725</xdr:colOff>
      <xdr:row>14</xdr:row>
      <xdr:rowOff>0</xdr:rowOff>
    </xdr:to>
    <xdr:graphicFrame>
      <xdr:nvGraphicFramePr>
        <xdr:cNvPr id="1" name="Grafico 3"/>
        <xdr:cNvGraphicFramePr/>
      </xdr:nvGraphicFramePr>
      <xdr:xfrm>
        <a:off x="2886075" y="200025"/>
        <a:ext cx="43243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24</xdr:row>
      <xdr:rowOff>9525</xdr:rowOff>
    </xdr:from>
    <xdr:to>
      <xdr:col>8</xdr:col>
      <xdr:colOff>552450</xdr:colOff>
      <xdr:row>45</xdr:row>
      <xdr:rowOff>19050</xdr:rowOff>
    </xdr:to>
    <xdr:graphicFrame>
      <xdr:nvGraphicFramePr>
        <xdr:cNvPr id="2" name="Grafico 3"/>
        <xdr:cNvGraphicFramePr/>
      </xdr:nvGraphicFramePr>
      <xdr:xfrm>
        <a:off x="4286250" y="4895850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12.8515625" style="20" bestFit="1" customWidth="1"/>
    <col min="2" max="2" width="19.7109375" style="20" bestFit="1" customWidth="1"/>
    <col min="3" max="3" width="9.140625" style="20" customWidth="1"/>
    <col min="4" max="4" width="13.57421875" style="8" bestFit="1" customWidth="1"/>
    <col min="5" max="5" width="9.140625" style="20" customWidth="1"/>
    <col min="6" max="6" width="27.8515625" style="20" bestFit="1" customWidth="1"/>
    <col min="7" max="16384" width="9.140625" style="20" customWidth="1"/>
  </cols>
  <sheetData>
    <row r="1" spans="1:6" ht="19.5" customHeight="1">
      <c r="A1" s="23" t="s">
        <v>45</v>
      </c>
      <c r="B1" s="23">
        <v>-0.44</v>
      </c>
      <c r="C1" s="23" t="s">
        <v>41</v>
      </c>
      <c r="D1" s="23"/>
      <c r="E1" s="23"/>
      <c r="F1" s="20">
        <v>0.34</v>
      </c>
    </row>
    <row r="2" spans="1:6" ht="19.5" customHeight="1">
      <c r="A2" s="23" t="s">
        <v>46</v>
      </c>
      <c r="B2" s="23">
        <v>-0.76</v>
      </c>
      <c r="C2" s="23" t="s">
        <v>41</v>
      </c>
      <c r="D2" s="23"/>
      <c r="E2" s="23"/>
      <c r="F2" s="20">
        <v>-0.76</v>
      </c>
    </row>
    <row r="3" spans="1:6" ht="19.5" customHeight="1">
      <c r="A3" s="23" t="s">
        <v>42</v>
      </c>
      <c r="B3" s="23">
        <f>+B1-B2</f>
        <v>0.32</v>
      </c>
      <c r="C3" s="23" t="s">
        <v>41</v>
      </c>
      <c r="D3" s="23"/>
      <c r="E3" s="23"/>
      <c r="F3" s="20">
        <f>+F1-F2</f>
        <v>1.1</v>
      </c>
    </row>
    <row r="4" spans="1:6" ht="19.5" customHeight="1">
      <c r="A4" s="23" t="s">
        <v>47</v>
      </c>
      <c r="B4" s="28">
        <f>10^(2*B3/0.059)</f>
        <v>70381355549.31604</v>
      </c>
      <c r="C4" s="23"/>
      <c r="D4" s="23"/>
      <c r="E4" s="23"/>
      <c r="F4" s="21">
        <f>10^(2*F3/0.059)</f>
        <v>1.9414919457439378E+37</v>
      </c>
    </row>
    <row r="5" spans="1:6" ht="19.5" customHeight="1">
      <c r="A5" s="23"/>
      <c r="B5" s="28">
        <f>+B4*0.05</f>
        <v>3519067777.465802</v>
      </c>
      <c r="C5" s="304" t="s">
        <v>49</v>
      </c>
      <c r="D5" s="305"/>
      <c r="E5" s="23"/>
      <c r="F5" s="20">
        <f>+F4*0.5</f>
        <v>9.707459728719689E+36</v>
      </c>
    </row>
    <row r="6" spans="1:6" ht="19.5" customHeight="1">
      <c r="A6" s="23"/>
      <c r="B6" s="28">
        <f>+B5-3</f>
        <v>3519067774.465802</v>
      </c>
      <c r="C6" s="306"/>
      <c r="D6" s="307"/>
      <c r="E6" s="23"/>
      <c r="F6" s="21">
        <f>1+F4</f>
        <v>1.9414919457439378E+37</v>
      </c>
    </row>
    <row r="7" spans="1:6" ht="19.5" customHeight="1">
      <c r="A7" s="23"/>
      <c r="B7" s="28">
        <f>1+B4</f>
        <v>70381355550.31604</v>
      </c>
      <c r="C7" s="308"/>
      <c r="D7" s="309"/>
      <c r="E7" s="23"/>
      <c r="F7" s="22">
        <f>+F5/F6</f>
        <v>0.5</v>
      </c>
    </row>
    <row r="8" spans="1:5" ht="19.5" customHeight="1">
      <c r="A8" s="23" t="s">
        <v>11</v>
      </c>
      <c r="B8" s="28">
        <f>+B6/B7</f>
        <v>0.04999999995666466</v>
      </c>
      <c r="C8" s="23" t="s">
        <v>43</v>
      </c>
      <c r="D8" s="23" t="s">
        <v>44</v>
      </c>
      <c r="E8" s="27">
        <v>0.05</v>
      </c>
    </row>
    <row r="9" spans="1:5" ht="19.5" customHeight="1">
      <c r="A9" s="23" t="s">
        <v>48</v>
      </c>
      <c r="B9" s="24">
        <v>0.05</v>
      </c>
      <c r="C9" s="23" t="s">
        <v>43</v>
      </c>
      <c r="D9" s="23"/>
      <c r="E9" s="27"/>
    </row>
    <row r="10" spans="1:5" ht="19.5" customHeight="1">
      <c r="A10" s="23" t="s">
        <v>50</v>
      </c>
      <c r="B10" s="25">
        <v>3</v>
      </c>
      <c r="C10" s="23" t="s">
        <v>43</v>
      </c>
      <c r="D10" s="23"/>
      <c r="E10" s="27"/>
    </row>
    <row r="11" spans="1:6" ht="19.5" customHeight="1">
      <c r="A11" s="23" t="s">
        <v>51</v>
      </c>
      <c r="B11" s="26">
        <f>B9-B8</f>
        <v>4.333534225908764E-11</v>
      </c>
      <c r="C11" s="23" t="s">
        <v>43</v>
      </c>
      <c r="D11" s="23" t="s">
        <v>44</v>
      </c>
      <c r="E11" s="27">
        <v>0</v>
      </c>
      <c r="F11" s="21">
        <f>0.5/F4</f>
        <v>2.5753390380839865E-38</v>
      </c>
    </row>
    <row r="12" spans="1:5" ht="19.5" customHeight="1">
      <c r="A12" s="23" t="s">
        <v>52</v>
      </c>
      <c r="B12" s="29">
        <f>+B10+B8</f>
        <v>3.0499999999566647</v>
      </c>
      <c r="C12" s="23" t="s">
        <v>43</v>
      </c>
      <c r="D12" s="23" t="s">
        <v>44</v>
      </c>
      <c r="E12" s="27">
        <v>3</v>
      </c>
    </row>
  </sheetData>
  <sheetProtection/>
  <mergeCells count="1">
    <mergeCell ref="C5:D7"/>
  </mergeCells>
  <printOptions/>
  <pageMargins left="0.7086614173228347" right="0.7086614173228347" top="0.7480314960629921" bottom="0.7480314960629921" header="0.31496062992125984" footer="0.31496062992125984"/>
  <pageSetup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644"/>
  <sheetViews>
    <sheetView zoomScale="110" zoomScaleNormal="110" zoomScalePageLayoutView="0" workbookViewId="0" topLeftCell="A1627">
      <selection activeCell="H1643" sqref="H1643"/>
    </sheetView>
  </sheetViews>
  <sheetFormatPr defaultColWidth="9.140625" defaultRowHeight="15"/>
  <cols>
    <col min="1" max="1" width="12.57421875" style="20" customWidth="1"/>
    <col min="2" max="2" width="13.8515625" style="20" customWidth="1"/>
    <col min="3" max="3" width="10.7109375" style="20" customWidth="1"/>
    <col min="4" max="4" width="13.00390625" style="20" customWidth="1"/>
    <col min="5" max="5" width="13.57421875" style="20" customWidth="1"/>
    <col min="6" max="10" width="10.7109375" style="20" customWidth="1"/>
    <col min="11" max="11" width="11.28125" style="20" customWidth="1"/>
    <col min="12" max="12" width="15.28125" style="20" customWidth="1"/>
    <col min="13" max="14" width="12.7109375" style="20" customWidth="1"/>
    <col min="15" max="15" width="10.8515625" style="20" customWidth="1"/>
    <col min="16" max="16" width="11.140625" style="20" customWidth="1"/>
    <col min="17" max="17" width="12.7109375" style="20" customWidth="1"/>
    <col min="18" max="18" width="8.7109375" style="20" customWidth="1"/>
    <col min="19" max="20" width="13.00390625" style="20" bestFit="1" customWidth="1"/>
    <col min="21" max="21" width="12.28125" style="20" bestFit="1" customWidth="1"/>
    <col min="22" max="22" width="9.57421875" style="20" bestFit="1" customWidth="1"/>
    <col min="23" max="24" width="12.28125" style="20" bestFit="1" customWidth="1"/>
    <col min="25" max="25" width="6.57421875" style="20" bestFit="1" customWidth="1"/>
    <col min="26" max="16384" width="9.140625" style="20" customWidth="1"/>
  </cols>
  <sheetData>
    <row r="2" spans="3:14" ht="15">
      <c r="C2" s="20">
        <v>1</v>
      </c>
      <c r="I2" s="15" t="s">
        <v>0</v>
      </c>
      <c r="J2" s="20">
        <v>1</v>
      </c>
      <c r="N2" s="20" t="s">
        <v>1</v>
      </c>
    </row>
    <row r="3" spans="3:14" ht="17.25">
      <c r="C3" s="20">
        <v>0.032</v>
      </c>
      <c r="I3" s="15" t="s">
        <v>2</v>
      </c>
      <c r="J3" s="20">
        <v>0.032</v>
      </c>
      <c r="N3" s="20" t="s">
        <v>3</v>
      </c>
    </row>
    <row r="4" spans="3:14" ht="17.25">
      <c r="C4" s="21">
        <v>-0.0003</v>
      </c>
      <c r="I4" s="15" t="s">
        <v>4</v>
      </c>
      <c r="J4" s="21">
        <v>-0.0003</v>
      </c>
      <c r="K4" s="21"/>
      <c r="N4" s="20" t="s">
        <v>5</v>
      </c>
    </row>
    <row r="5" spans="3:10" ht="15">
      <c r="C5" s="20">
        <f>+C3^2-4*C2*C4</f>
        <v>0.002224</v>
      </c>
      <c r="I5" s="15" t="s">
        <v>6</v>
      </c>
      <c r="J5" s="20">
        <f>+J3^2-4*J2*J4</f>
        <v>0.002224</v>
      </c>
    </row>
    <row r="6" spans="3:10" ht="15">
      <c r="C6" s="20">
        <f>+SQRT(C5)</f>
        <v>0.04715930449020638</v>
      </c>
      <c r="I6" s="15" t="s">
        <v>7</v>
      </c>
      <c r="J6" s="20">
        <f>+SQRT(J5)</f>
        <v>0.04715930449020638</v>
      </c>
    </row>
    <row r="7" spans="9:11" ht="15">
      <c r="I7" s="30" t="s">
        <v>8</v>
      </c>
      <c r="J7" s="31">
        <f>+(-J3+J6)/2</f>
        <v>0.0075796522451031904</v>
      </c>
      <c r="K7" s="31"/>
    </row>
    <row r="8" spans="9:11" ht="15">
      <c r="I8" s="30" t="s">
        <v>9</v>
      </c>
      <c r="J8" s="32">
        <f>+(-J3-J6)/2</f>
        <v>-0.039579652245103195</v>
      </c>
      <c r="K8" s="32"/>
    </row>
    <row r="9" spans="1:14" ht="15">
      <c r="A9" s="20" t="s">
        <v>10</v>
      </c>
      <c r="C9" s="33">
        <f>+(C6-C3)/2</f>
        <v>0.0075796522451031904</v>
      </c>
      <c r="D9" s="34">
        <f>+-LOG10(C9)</f>
        <v>2.120350719367587</v>
      </c>
      <c r="E9" s="34"/>
      <c r="F9" s="34"/>
      <c r="G9" s="31">
        <f>0.012*C11/C10</f>
        <v>0.010084069550979364</v>
      </c>
      <c r="H9" s="35"/>
      <c r="I9" s="11" t="s">
        <v>11</v>
      </c>
      <c r="J9" s="36">
        <f>+(J6-J3)/2</f>
        <v>0.0075796522451031904</v>
      </c>
      <c r="K9" s="36"/>
      <c r="L9" s="37">
        <f>+-LOG10(J9)</f>
        <v>2.120350719367587</v>
      </c>
      <c r="M9" s="37"/>
      <c r="N9" s="38" t="s">
        <v>12</v>
      </c>
    </row>
    <row r="10" spans="1:11" ht="15">
      <c r="A10" s="20" t="s">
        <v>13</v>
      </c>
      <c r="C10" s="34">
        <f>0.15+C9</f>
        <v>0.15757965224510317</v>
      </c>
      <c r="H10" s="39"/>
      <c r="I10" s="40" t="s">
        <v>14</v>
      </c>
      <c r="J10" s="41">
        <f>0.02+J9</f>
        <v>0.02757965224510319</v>
      </c>
      <c r="K10" s="41"/>
    </row>
    <row r="11" spans="1:11" ht="15">
      <c r="A11" s="20" t="s">
        <v>15</v>
      </c>
      <c r="C11" s="34">
        <f>0.14-C9</f>
        <v>0.13242034775489683</v>
      </c>
      <c r="D11" s="42">
        <f>+C10/C11</f>
        <v>1.189995759086624</v>
      </c>
      <c r="E11" s="42"/>
      <c r="F11" s="42"/>
      <c r="I11" s="8" t="s">
        <v>16</v>
      </c>
      <c r="J11" s="41">
        <f>0.025-J9</f>
        <v>0.01742034775489681</v>
      </c>
      <c r="K11" s="41"/>
    </row>
    <row r="12" spans="1:11" ht="15">
      <c r="A12" s="20" t="s">
        <v>17</v>
      </c>
      <c r="C12" s="32">
        <f>+C9*C10/C11</f>
        <v>0.009019754027024204</v>
      </c>
      <c r="D12" s="35"/>
      <c r="E12" s="35"/>
      <c r="F12" s="35"/>
      <c r="G12" s="31"/>
      <c r="H12" s="31"/>
      <c r="I12" s="31"/>
      <c r="J12" s="32">
        <f>+J9*J10/J11</f>
        <v>0.011999999999999995</v>
      </c>
      <c r="K12" s="32"/>
    </row>
    <row r="14" spans="3:7" ht="15">
      <c r="C14" s="39"/>
      <c r="D14" s="31">
        <f>0.012*C16/C15</f>
        <v>0.010084069550979364</v>
      </c>
      <c r="E14" s="31"/>
      <c r="F14" s="31"/>
      <c r="G14" s="35">
        <f>+-LOG10(D14)</f>
        <v>1.9963641676066208</v>
      </c>
    </row>
    <row r="15" spans="3:10" ht="15">
      <c r="C15" s="35">
        <f>+C10*0.9</f>
        <v>0.14182168702059286</v>
      </c>
      <c r="I15" s="15" t="s">
        <v>0</v>
      </c>
      <c r="J15" s="20">
        <v>1</v>
      </c>
    </row>
    <row r="16" spans="3:11" ht="15">
      <c r="C16" s="35">
        <f>+C11*0.9</f>
        <v>0.11917831297940715</v>
      </c>
      <c r="D16" s="42"/>
      <c r="E16" s="42"/>
      <c r="F16" s="42"/>
      <c r="I16" s="15" t="s">
        <v>2</v>
      </c>
      <c r="J16" s="21">
        <v>0.022</v>
      </c>
      <c r="K16" s="21"/>
    </row>
    <row r="17" spans="3:11" ht="15">
      <c r="C17" s="32"/>
      <c r="I17" s="15" t="s">
        <v>4</v>
      </c>
      <c r="J17" s="21">
        <v>-0.0012</v>
      </c>
      <c r="K17" s="21"/>
    </row>
    <row r="18" spans="9:10" ht="15">
      <c r="I18" s="15" t="s">
        <v>6</v>
      </c>
      <c r="J18" s="20">
        <f>+J16^2-4*J15*J17</f>
        <v>0.005284</v>
      </c>
    </row>
    <row r="19" spans="3:10" ht="15">
      <c r="C19" s="20">
        <v>2.004</v>
      </c>
      <c r="D19" s="31">
        <f>10^-C19</f>
        <v>0.00990831944892767</v>
      </c>
      <c r="E19" s="31"/>
      <c r="F19" s="31"/>
      <c r="I19" s="15" t="s">
        <v>7</v>
      </c>
      <c r="J19" s="20">
        <f>+SQRT(J18)</f>
        <v>0.07269112738154498</v>
      </c>
    </row>
    <row r="20" spans="4:16" ht="15">
      <c r="D20" s="42"/>
      <c r="E20" s="42"/>
      <c r="F20" s="42"/>
      <c r="I20" s="30" t="s">
        <v>8</v>
      </c>
      <c r="J20" s="43">
        <f>+(-J16+J19)/2</f>
        <v>0.025345563690772493</v>
      </c>
      <c r="K20" s="43"/>
      <c r="L20" s="43">
        <v>0.01</v>
      </c>
      <c r="M20" s="43"/>
      <c r="N20" s="43">
        <f>+J20+L20</f>
        <v>0.03534556369077249</v>
      </c>
      <c r="O20" s="44">
        <f>+-LOG10(N20)</f>
        <v>1.451665087822462</v>
      </c>
      <c r="P20" s="44"/>
    </row>
    <row r="21" spans="3:11" ht="15">
      <c r="C21" s="35">
        <f>+C10+C11</f>
        <v>0.29000000000000004</v>
      </c>
      <c r="I21" s="30" t="s">
        <v>9</v>
      </c>
      <c r="J21" s="32">
        <f>+(-J16-J19)/2</f>
        <v>-0.04734556369077249</v>
      </c>
      <c r="K21" s="32"/>
    </row>
    <row r="22" ht="15">
      <c r="C22" s="35">
        <f>0.012/D19</f>
        <v>1.2111034632920221</v>
      </c>
    </row>
    <row r="23" spans="3:10" ht="15">
      <c r="C23" s="35">
        <f>+C21/(1+C22)</f>
        <v>0.13115623253930905</v>
      </c>
      <c r="I23" s="15" t="s">
        <v>0</v>
      </c>
      <c r="J23" s="20">
        <v>1</v>
      </c>
    </row>
    <row r="24" spans="3:11" ht="15">
      <c r="C24" s="35">
        <f>+C21-C23</f>
        <v>0.15884376746069098</v>
      </c>
      <c r="I24" s="15" t="s">
        <v>2</v>
      </c>
      <c r="J24" s="21">
        <v>0.112</v>
      </c>
      <c r="K24" s="21"/>
    </row>
    <row r="25" spans="9:11" ht="15">
      <c r="I25" s="15" t="s">
        <v>4</v>
      </c>
      <c r="J25" s="21">
        <v>-0.0012</v>
      </c>
      <c r="K25" s="21"/>
    </row>
    <row r="26" spans="9:10" ht="15">
      <c r="I26" s="15" t="s">
        <v>6</v>
      </c>
      <c r="J26" s="20">
        <f>+J24^2-4*J23*J25</f>
        <v>0.017344000000000002</v>
      </c>
    </row>
    <row r="27" spans="9:10" ht="15">
      <c r="I27" s="15" t="s">
        <v>7</v>
      </c>
      <c r="J27" s="20">
        <f>+SQRT(J26)</f>
        <v>0.13169662106523464</v>
      </c>
    </row>
    <row r="28" spans="9:16" ht="15">
      <c r="I28" s="30" t="s">
        <v>8</v>
      </c>
      <c r="J28" s="43">
        <f>+(-J24+J27)/2</f>
        <v>0.009848310532617317</v>
      </c>
      <c r="K28" s="43"/>
      <c r="L28" s="43">
        <v>0.1</v>
      </c>
      <c r="M28" s="43"/>
      <c r="N28" s="43">
        <f>+J28+L28</f>
        <v>0.10984831053261732</v>
      </c>
      <c r="O28" s="44">
        <f>+-LOG10(N28)</f>
        <v>0.9592066181426878</v>
      </c>
      <c r="P28" s="44"/>
    </row>
    <row r="29" spans="9:11" ht="15">
      <c r="I29" s="30" t="s">
        <v>9</v>
      </c>
      <c r="J29" s="32">
        <f>+(-J24-J27)/2</f>
        <v>-0.12184831053261733</v>
      </c>
      <c r="K29" s="32"/>
    </row>
    <row r="31" spans="9:17" ht="15">
      <c r="I31" s="15" t="s">
        <v>0</v>
      </c>
      <c r="J31" s="20">
        <v>1</v>
      </c>
      <c r="N31" s="20">
        <f>0.07145/0.059</f>
        <v>1.2110169491525424</v>
      </c>
      <c r="Q31" s="45">
        <f>0.0001+J36</f>
        <v>0.0006882513595228035</v>
      </c>
    </row>
    <row r="32" spans="9:17" ht="15">
      <c r="I32" s="15" t="s">
        <v>2</v>
      </c>
      <c r="J32" s="46">
        <f>0.0001+N35</f>
        <v>0.0010832814443867717</v>
      </c>
      <c r="K32" s="46"/>
      <c r="N32" s="20">
        <f>+-1*N31</f>
        <v>-1.2110169491525424</v>
      </c>
      <c r="Q32" s="20">
        <f>+LOG10(0.01/Q31)</f>
        <v>1.162252922059342</v>
      </c>
    </row>
    <row r="33" spans="9:17" ht="15">
      <c r="I33" s="15" t="s">
        <v>4</v>
      </c>
      <c r="J33" s="21">
        <f>+-N35/1000</f>
        <v>-9.832814443867715E-07</v>
      </c>
      <c r="K33" s="21"/>
      <c r="N33" s="20">
        <f>+-2+N32</f>
        <v>-3.211016949152542</v>
      </c>
      <c r="Q33" s="20">
        <v>0.059</v>
      </c>
    </row>
    <row r="34" spans="9:17" ht="15">
      <c r="I34" s="15" t="s">
        <v>6</v>
      </c>
      <c r="J34" s="20">
        <f>+J32^2-4*J31*J33</f>
        <v>5.1066244652997765E-06</v>
      </c>
      <c r="N34" s="46">
        <f>10^N33</f>
        <v>0.0006151528647529813</v>
      </c>
      <c r="Q34" s="31">
        <f>+Q32*Q33</f>
        <v>0.06857292240150117</v>
      </c>
    </row>
    <row r="35" spans="9:14" ht="15">
      <c r="I35" s="15" t="s">
        <v>7</v>
      </c>
      <c r="J35" s="20">
        <f>+SQRT(J34)</f>
        <v>0.0022597841634323787</v>
      </c>
      <c r="N35" s="46">
        <f>+N34^2/(0.001-N34)</f>
        <v>0.0009832814443867717</v>
      </c>
    </row>
    <row r="36" spans="9:11" ht="15">
      <c r="I36" s="30" t="s">
        <v>8</v>
      </c>
      <c r="J36" s="47">
        <f>+(-J32+J35)/2</f>
        <v>0.0005882513595228035</v>
      </c>
      <c r="K36" s="47"/>
    </row>
    <row r="37" spans="9:14" ht="15">
      <c r="I37" s="30" t="s">
        <v>9</v>
      </c>
      <c r="J37" s="32">
        <f>+(-J32-J35)/2</f>
        <v>-0.001671532803909575</v>
      </c>
      <c r="K37" s="32"/>
      <c r="N37" s="46">
        <f>+N34^2/N35</f>
        <v>0.00038484713524701867</v>
      </c>
    </row>
    <row r="40" spans="9:10" ht="15">
      <c r="I40" s="15" t="s">
        <v>0</v>
      </c>
      <c r="J40" s="20">
        <v>1</v>
      </c>
    </row>
    <row r="41" spans="9:11" ht="15">
      <c r="I41" s="15" t="s">
        <v>2</v>
      </c>
      <c r="J41" s="46">
        <f>0.0000001+0.001</f>
        <v>0.0010001</v>
      </c>
      <c r="K41" s="46"/>
    </row>
    <row r="42" spans="9:19" ht="15">
      <c r="I42" s="15" t="s">
        <v>4</v>
      </c>
      <c r="J42" s="21">
        <v>-1E-08</v>
      </c>
      <c r="K42" s="21"/>
      <c r="S42" s="31">
        <f>0.00375/2</f>
        <v>0.001875</v>
      </c>
    </row>
    <row r="43" spans="9:10" ht="15">
      <c r="I43" s="15" t="s">
        <v>6</v>
      </c>
      <c r="J43" s="20">
        <f>+J41^2-4*J40*J42</f>
        <v>1.0402000100000003E-06</v>
      </c>
    </row>
    <row r="44" spans="9:10" ht="15">
      <c r="I44" s="15" t="s">
        <v>7</v>
      </c>
      <c r="J44" s="20">
        <f>+SQRT(J43)</f>
        <v>0.0010199019609746813</v>
      </c>
    </row>
    <row r="45" spans="9:18" ht="15">
      <c r="I45" s="30" t="s">
        <v>8</v>
      </c>
      <c r="J45" s="47">
        <f>+(-J41+J44)/2</f>
        <v>9.900980487340593E-06</v>
      </c>
      <c r="K45" s="47"/>
      <c r="L45" s="20">
        <v>0.001</v>
      </c>
      <c r="N45" s="45">
        <f>+J45+L45</f>
        <v>0.0010099009804873406</v>
      </c>
      <c r="O45" s="43">
        <f>+-LOG10(N45)</f>
        <v>2.9957212061540957</v>
      </c>
      <c r="P45" s="43"/>
      <c r="R45" s="32">
        <f>+O45-L53</f>
        <v>-1.504965473428817</v>
      </c>
    </row>
    <row r="46" spans="9:11" ht="15">
      <c r="I46" s="30" t="s">
        <v>9</v>
      </c>
      <c r="J46" s="32">
        <f>+(-J41-J44)/2</f>
        <v>-0.0010100009804873407</v>
      </c>
      <c r="K46" s="32"/>
    </row>
    <row r="48" spans="9:10" ht="15">
      <c r="I48" s="15" t="s">
        <v>0</v>
      </c>
      <c r="J48" s="20">
        <v>1</v>
      </c>
    </row>
    <row r="49" spans="9:16" ht="15">
      <c r="I49" s="15" t="s">
        <v>2</v>
      </c>
      <c r="J49" s="48">
        <v>1E-07</v>
      </c>
      <c r="K49" s="48"/>
      <c r="L49" s="21"/>
      <c r="M49" s="21"/>
      <c r="N49" s="48"/>
      <c r="O49" s="43"/>
      <c r="P49" s="43"/>
    </row>
    <row r="50" spans="9:11" ht="15">
      <c r="I50" s="15" t="s">
        <v>4</v>
      </c>
      <c r="J50" s="49">
        <v>-1E-09</v>
      </c>
      <c r="K50" s="49"/>
    </row>
    <row r="51" spans="9:10" ht="15">
      <c r="I51" s="15" t="s">
        <v>6</v>
      </c>
      <c r="J51" s="20">
        <f>+J49^2-4*J48*J50</f>
        <v>4.00001E-09</v>
      </c>
    </row>
    <row r="52" spans="9:10" ht="15">
      <c r="I52" s="15" t="s">
        <v>7</v>
      </c>
      <c r="J52" s="20">
        <f>+SQRT(J51)</f>
        <v>6.324563226025969E-05</v>
      </c>
    </row>
    <row r="53" spans="9:16" ht="15">
      <c r="I53" s="30" t="s">
        <v>8</v>
      </c>
      <c r="J53" s="47">
        <f>+(-J49+J52)/2</f>
        <v>3.157281613012984E-05</v>
      </c>
      <c r="K53" s="47"/>
      <c r="L53" s="43">
        <f>+-LOG10(J53)</f>
        <v>4.500686679582913</v>
      </c>
      <c r="M53" s="43"/>
      <c r="O53" s="32">
        <f>+O45-L53</f>
        <v>-1.504965473428817</v>
      </c>
      <c r="P53" s="32"/>
    </row>
    <row r="54" spans="9:11" ht="15">
      <c r="I54" s="30" t="s">
        <v>9</v>
      </c>
      <c r="J54" s="32">
        <f>+(-J49-J52)/2</f>
        <v>-3.1672816130129844E-05</v>
      </c>
      <c r="K54" s="32"/>
    </row>
    <row r="56" spans="9:10" ht="15">
      <c r="I56" s="15" t="s">
        <v>0</v>
      </c>
      <c r="J56" s="20">
        <v>1</v>
      </c>
    </row>
    <row r="57" spans="9:11" ht="15">
      <c r="I57" s="15" t="s">
        <v>2</v>
      </c>
      <c r="J57" s="49">
        <f>0.00000001+0.001</f>
        <v>0.00100001</v>
      </c>
      <c r="K57" s="49"/>
    </row>
    <row r="58" spans="9:11" ht="15">
      <c r="I58" s="15" t="s">
        <v>4</v>
      </c>
      <c r="J58" s="21">
        <v>1E-08</v>
      </c>
      <c r="K58" s="21"/>
    </row>
    <row r="59" spans="9:10" ht="15">
      <c r="I59" s="15" t="s">
        <v>6</v>
      </c>
      <c r="J59" s="20">
        <f>+J57^2-4*J56*J58</f>
        <v>9.600200001E-07</v>
      </c>
    </row>
    <row r="60" spans="9:10" ht="15">
      <c r="I60" s="15" t="s">
        <v>7</v>
      </c>
      <c r="J60" s="20">
        <f>+SQRT(J59)</f>
        <v>0.0009798061033184065</v>
      </c>
    </row>
    <row r="61" spans="9:16" ht="15">
      <c r="I61" s="30" t="s">
        <v>8</v>
      </c>
      <c r="J61" s="50">
        <f>+(-J57+J60)/2</f>
        <v>-1.0101948340796724E-05</v>
      </c>
      <c r="K61" s="50"/>
      <c r="L61" s="20">
        <v>0.001</v>
      </c>
      <c r="N61" s="45">
        <f>+J61+L61</f>
        <v>0.0009898980516592033</v>
      </c>
      <c r="O61" s="43">
        <f>+-LOG10(N61)</f>
        <v>3.004409530535493</v>
      </c>
      <c r="P61" s="43"/>
    </row>
    <row r="62" spans="9:11" ht="15">
      <c r="I62" s="30" t="s">
        <v>9</v>
      </c>
      <c r="J62" s="32">
        <f>+(-J57-J60)/2</f>
        <v>-0.0009899080516592032</v>
      </c>
      <c r="K62" s="32"/>
    </row>
    <row r="64" spans="1:18" ht="15">
      <c r="A64" s="20">
        <f>0.00000000000001/0.00063</f>
        <v>1.587301587301587E-11</v>
      </c>
      <c r="I64" s="15" t="s">
        <v>0</v>
      </c>
      <c r="J64" s="20">
        <v>1</v>
      </c>
      <c r="O64" s="20">
        <f>+A64/J69</f>
        <v>1.7817574858360728E-05</v>
      </c>
      <c r="R64" s="21">
        <f>A68</f>
        <v>2.5442239999999998E-09</v>
      </c>
    </row>
    <row r="65" spans="1:18" ht="15">
      <c r="A65" s="21">
        <v>0.00086</v>
      </c>
      <c r="B65" s="21"/>
      <c r="I65" s="15" t="s">
        <v>2</v>
      </c>
      <c r="J65" s="49">
        <f>A64</f>
        <v>1.587301587301587E-11</v>
      </c>
      <c r="K65" s="49"/>
      <c r="O65" s="20">
        <f>+(O64+1)/2</f>
        <v>0.5000089087874292</v>
      </c>
      <c r="R65" s="21">
        <f>+A65+0.05</f>
        <v>0.05086</v>
      </c>
    </row>
    <row r="66" spans="1:18" ht="15">
      <c r="A66" s="21">
        <f>2*A65</f>
        <v>0.00172</v>
      </c>
      <c r="B66" s="21"/>
      <c r="I66" s="15" t="s">
        <v>4</v>
      </c>
      <c r="J66" s="21">
        <f>+A64*-0.05</f>
        <v>-7.936507936507936E-13</v>
      </c>
      <c r="K66" s="21"/>
      <c r="O66" s="20">
        <f>+O65^2</f>
        <v>0.2500089088667957</v>
      </c>
      <c r="R66" s="20">
        <f>+R64/0.2</f>
        <v>1.2721119999999999E-08</v>
      </c>
    </row>
    <row r="67" spans="1:18" ht="15">
      <c r="A67" s="20">
        <f>+A66^2</f>
        <v>2.9584E-06</v>
      </c>
      <c r="I67" s="15" t="s">
        <v>6</v>
      </c>
      <c r="J67" s="20">
        <f>+J65^2-4*J64*J66</f>
        <v>3.174603174855127E-12</v>
      </c>
      <c r="O67" s="20">
        <f>+A68/O66^(1/3)</f>
        <v>4.038655881482867E-09</v>
      </c>
      <c r="R67" s="21">
        <f>+SQRT(R66)</f>
        <v>0.0001127879426179944</v>
      </c>
    </row>
    <row r="68" spans="1:14" ht="15">
      <c r="A68" s="21">
        <f>+A67*A65</f>
        <v>2.5442239999999998E-09</v>
      </c>
      <c r="B68" s="21"/>
      <c r="I68" s="15" t="s">
        <v>7</v>
      </c>
      <c r="J68" s="20">
        <f>+SQRT(J67)</f>
        <v>1.7817416128202E-06</v>
      </c>
      <c r="L68" s="51" t="s">
        <v>18</v>
      </c>
      <c r="M68" s="51"/>
      <c r="N68" s="51" t="s">
        <v>12</v>
      </c>
    </row>
    <row r="69" spans="1:14" ht="15">
      <c r="A69" s="51" t="s">
        <v>19</v>
      </c>
      <c r="B69" s="51"/>
      <c r="I69" s="30" t="s">
        <v>8</v>
      </c>
      <c r="J69" s="52">
        <f>+(-J65+J68)/2</f>
        <v>8.908628699021635E-07</v>
      </c>
      <c r="K69" s="52"/>
      <c r="L69" s="53">
        <f>14-J69</f>
        <v>13.99999910913713</v>
      </c>
      <c r="M69" s="53"/>
      <c r="N69" s="53">
        <f>14-L69</f>
        <v>8.908628696957521E-07</v>
      </c>
    </row>
    <row r="70" spans="9:11" ht="15">
      <c r="I70" s="30" t="s">
        <v>9</v>
      </c>
      <c r="J70" s="32">
        <f>+(-J65-J68)/2</f>
        <v>-8.908787429180365E-07</v>
      </c>
      <c r="K70" s="32"/>
    </row>
    <row r="72" spans="9:14" ht="15">
      <c r="I72" s="15" t="s">
        <v>0</v>
      </c>
      <c r="J72" s="20">
        <v>4</v>
      </c>
      <c r="L72" s="21">
        <f>+J72*J77^2</f>
        <v>0.013317159999990776</v>
      </c>
      <c r="M72" s="21"/>
      <c r="N72" s="350">
        <f>+L72+L73+L74</f>
        <v>0.007491767999993082</v>
      </c>
    </row>
    <row r="73" spans="9:14" ht="15">
      <c r="I73" s="15" t="s">
        <v>2</v>
      </c>
      <c r="J73" s="49">
        <v>-0.11538</v>
      </c>
      <c r="K73" s="49"/>
      <c r="L73" s="49">
        <f>+J77*J73</f>
        <v>-0.006657425999997694</v>
      </c>
      <c r="M73" s="49"/>
      <c r="N73" s="350"/>
    </row>
    <row r="74" spans="9:14" ht="15">
      <c r="I74" s="15" t="s">
        <v>4</v>
      </c>
      <c r="J74" s="21">
        <v>0.000832034</v>
      </c>
      <c r="K74" s="21"/>
      <c r="L74" s="21">
        <f>J74</f>
        <v>0.000832034</v>
      </c>
      <c r="M74" s="21"/>
      <c r="N74" s="350"/>
    </row>
    <row r="75" spans="9:10" ht="15">
      <c r="I75" s="15" t="s">
        <v>6</v>
      </c>
      <c r="J75" s="20">
        <f>+J73^2-4*J72*J74</f>
        <v>3.999999984016789E-10</v>
      </c>
    </row>
    <row r="76" spans="9:10" ht="15">
      <c r="I76" s="15" t="s">
        <v>7</v>
      </c>
      <c r="J76" s="20">
        <f>+SQRT(J75)</f>
        <v>1.999999996004197E-05</v>
      </c>
    </row>
    <row r="77" spans="9:13" ht="15">
      <c r="I77" s="30" t="s">
        <v>8</v>
      </c>
      <c r="J77" s="50">
        <f>+(-J73+J76)/2</f>
        <v>0.05769999999998002</v>
      </c>
      <c r="K77" s="50"/>
      <c r="L77" s="54">
        <f>+-LOG10(J77)</f>
        <v>1.238824186844419</v>
      </c>
      <c r="M77" s="54"/>
    </row>
    <row r="78" spans="9:11" ht="15">
      <c r="I78" s="30" t="s">
        <v>9</v>
      </c>
      <c r="J78" s="32">
        <f>+(-J73-J76)/2</f>
        <v>0.05768000000001998</v>
      </c>
      <c r="K78" s="32"/>
    </row>
    <row r="80" spans="9:21" ht="15">
      <c r="I80" s="15" t="s">
        <v>0</v>
      </c>
      <c r="J80" s="20">
        <v>1</v>
      </c>
      <c r="O80" s="20">
        <f>6/169.87</f>
        <v>0.03532112792135162</v>
      </c>
      <c r="R80" s="20">
        <f>6/169.87/0.65</f>
        <v>0.05434019680207942</v>
      </c>
      <c r="S80" s="20">
        <f>+LOG10(R80)</f>
        <v>-1.2648787930454313</v>
      </c>
      <c r="T80" s="20">
        <f>+S80*0.059</f>
        <v>-0.07462784878968044</v>
      </c>
      <c r="U80" s="20">
        <f>0.8+T80</f>
        <v>0.7253721512103196</v>
      </c>
    </row>
    <row r="81" spans="9:18" ht="15">
      <c r="I81" s="15" t="s">
        <v>2</v>
      </c>
      <c r="J81" s="49">
        <f>R85</f>
        <v>0.01209859009831047</v>
      </c>
      <c r="K81" s="49"/>
      <c r="O81" s="20">
        <f>+O80*0.8</f>
        <v>0.028256902337081297</v>
      </c>
      <c r="R81" s="20">
        <f>0.65*R80/0.8</f>
        <v>0.044151409901689524</v>
      </c>
    </row>
    <row r="82" spans="9:18" ht="15">
      <c r="I82" s="15" t="s">
        <v>4</v>
      </c>
      <c r="J82" s="21">
        <v>-1.8E-10</v>
      </c>
      <c r="K82" s="21"/>
      <c r="O82" s="20">
        <f>150*0.15/800*2</f>
        <v>0.05625</v>
      </c>
      <c r="R82" s="20">
        <f>0.15*0.15/0.8</f>
        <v>0.028124999999999997</v>
      </c>
    </row>
    <row r="83" spans="9:18" ht="15">
      <c r="I83" s="15" t="s">
        <v>6</v>
      </c>
      <c r="J83" s="20">
        <f>+J81^2-4*J80*J82</f>
        <v>0.00014637660236693615</v>
      </c>
      <c r="O83" s="20">
        <f>+O82-O81</f>
        <v>0.027993097662918704</v>
      </c>
      <c r="R83" s="20">
        <f>+R82*2</f>
        <v>0.056249999999999994</v>
      </c>
    </row>
    <row r="84" spans="9:18" ht="15">
      <c r="I84" s="15" t="s">
        <v>7</v>
      </c>
      <c r="J84" s="20">
        <f>+SQRT(J83)</f>
        <v>0.012098619853807134</v>
      </c>
      <c r="R84" s="20">
        <f>+R81*R83</f>
        <v>0.0024835168069700353</v>
      </c>
    </row>
    <row r="85" spans="9:18" ht="15">
      <c r="I85" s="30" t="s">
        <v>8</v>
      </c>
      <c r="J85" s="50">
        <f>+(-J81+J84)/2</f>
        <v>1.4877748331920682E-08</v>
      </c>
      <c r="K85" s="50"/>
      <c r="L85" s="20">
        <f>+LOG10(J85)</f>
        <v>-7.827462791976779</v>
      </c>
      <c r="N85" s="20">
        <f>+L85*0.059</f>
        <v>-0.46182030472662994</v>
      </c>
      <c r="O85" s="20">
        <f>+N85+0.8</f>
        <v>0.3381796952733701</v>
      </c>
      <c r="R85" s="20">
        <f>+R83-R81</f>
        <v>0.01209859009831047</v>
      </c>
    </row>
    <row r="86" spans="9:11" ht="15">
      <c r="I86" s="30" t="s">
        <v>9</v>
      </c>
      <c r="J86" s="32">
        <f>+(-J81-J84)/2</f>
        <v>-0.012098604976058802</v>
      </c>
      <c r="K86" s="32"/>
    </row>
    <row r="87" spans="15:18" ht="15">
      <c r="O87" s="20">
        <f>+O85-U80</f>
        <v>-0.3871924559369495</v>
      </c>
      <c r="R87" s="20">
        <f>+SQRT(0.00000000018)</f>
        <v>1.3416407864998738E-05</v>
      </c>
    </row>
    <row r="89" spans="9:11" ht="15">
      <c r="I89" s="15" t="s">
        <v>0</v>
      </c>
      <c r="J89" s="21">
        <v>1</v>
      </c>
      <c r="K89" s="21"/>
    </row>
    <row r="90" spans="9:18" ht="15">
      <c r="I90" s="15" t="s">
        <v>2</v>
      </c>
      <c r="J90" s="49">
        <f>R90</f>
        <v>0.01668466666666667</v>
      </c>
      <c r="K90" s="49"/>
      <c r="N90" s="45">
        <v>0.05</v>
      </c>
      <c r="O90" s="21">
        <f>+N90/2</f>
        <v>0.025</v>
      </c>
      <c r="P90" s="21"/>
      <c r="Q90" s="21">
        <f>+O90*0.000018</f>
        <v>4.5000000000000003E-07</v>
      </c>
      <c r="R90" s="21">
        <f>+O91+0.000018</f>
        <v>0.01668466666666667</v>
      </c>
    </row>
    <row r="91" spans="9:17" ht="15">
      <c r="I91" s="15" t="s">
        <v>4</v>
      </c>
      <c r="J91" s="21">
        <f>-Q90</f>
        <v>-4.5000000000000003E-07</v>
      </c>
      <c r="K91" s="21"/>
      <c r="N91" s="45">
        <f>0.002*16.6666666666667</f>
        <v>0.03333333333333334</v>
      </c>
      <c r="O91" s="21">
        <f>+N91/2</f>
        <v>0.01666666666666667</v>
      </c>
      <c r="P91" s="21"/>
      <c r="Q91" s="21">
        <f>0.000018*O91</f>
        <v>3.000000000000001E-07</v>
      </c>
    </row>
    <row r="92" spans="9:14" ht="15">
      <c r="I92" s="15" t="s">
        <v>6</v>
      </c>
      <c r="J92" s="20">
        <f>+J90^2-4*J89*J91</f>
        <v>0.0002801781017777779</v>
      </c>
      <c r="N92" s="45">
        <f>0.00001*16.6666666666667</f>
        <v>0.0001666666666666667</v>
      </c>
    </row>
    <row r="93" spans="9:14" ht="15">
      <c r="I93" s="15" t="s">
        <v>7</v>
      </c>
      <c r="J93" s="20">
        <f>+SQRT(J92)</f>
        <v>0.016738521493183854</v>
      </c>
      <c r="N93" s="45">
        <f>+N90-N92</f>
        <v>0.049833333333333334</v>
      </c>
    </row>
    <row r="94" spans="9:14" ht="15">
      <c r="I94" s="30" t="s">
        <v>8</v>
      </c>
      <c r="J94" s="47">
        <f>+(-J90+J93)/2</f>
        <v>2.6927413258591784E-05</v>
      </c>
      <c r="K94" s="47"/>
      <c r="L94" s="43">
        <f>+-LOG10(J94)</f>
        <v>4.569805364430198</v>
      </c>
      <c r="M94" s="43"/>
      <c r="N94" s="45">
        <f>+N91+N92</f>
        <v>0.03350000000000001</v>
      </c>
    </row>
    <row r="95" spans="9:14" ht="15">
      <c r="I95" s="30" t="s">
        <v>9</v>
      </c>
      <c r="J95" s="32">
        <f>+(-J90-J93)/2</f>
        <v>-0.016711594079925264</v>
      </c>
      <c r="K95" s="32"/>
      <c r="N95" s="45"/>
    </row>
    <row r="96" ht="15">
      <c r="N96" s="45"/>
    </row>
    <row r="97" spans="9:11" ht="15">
      <c r="I97" s="15" t="s">
        <v>0</v>
      </c>
      <c r="J97" s="21">
        <v>1</v>
      </c>
      <c r="K97" s="21"/>
    </row>
    <row r="98" spans="9:18" ht="15">
      <c r="I98" s="15" t="s">
        <v>2</v>
      </c>
      <c r="J98" s="49">
        <f>R98</f>
        <v>0.033518000000000006</v>
      </c>
      <c r="K98" s="49"/>
      <c r="N98" s="45">
        <v>0.05</v>
      </c>
      <c r="O98" s="21">
        <f>+N98/2</f>
        <v>0.025</v>
      </c>
      <c r="P98" s="21"/>
      <c r="Q98" s="21">
        <f>0.000018*N102</f>
        <v>8.97E-07</v>
      </c>
      <c r="R98" s="21">
        <f>0.000018+N101</f>
        <v>0.033518000000000006</v>
      </c>
    </row>
    <row r="99" spans="9:17" ht="15">
      <c r="I99" s="15" t="s">
        <v>4</v>
      </c>
      <c r="J99" s="21">
        <f>-Q98</f>
        <v>-8.97E-07</v>
      </c>
      <c r="K99" s="21"/>
      <c r="N99" s="45">
        <f>0.002*16.6666666666667</f>
        <v>0.03333333333333334</v>
      </c>
      <c r="O99" s="21">
        <f>+N99/2</f>
        <v>0.01666666666666667</v>
      </c>
      <c r="P99" s="21"/>
      <c r="Q99" s="21">
        <f>0.000018*O99</f>
        <v>3.000000000000001E-07</v>
      </c>
    </row>
    <row r="100" spans="9:14" ht="15">
      <c r="I100" s="15" t="s">
        <v>6</v>
      </c>
      <c r="J100" s="20">
        <f>+J98^2-4*J97*J99</f>
        <v>0.0011270443240000002</v>
      </c>
      <c r="N100" s="21">
        <f>0.00001*1000/60</f>
        <v>0.00016666666666666666</v>
      </c>
    </row>
    <row r="101" spans="9:14" ht="15">
      <c r="I101" s="15" t="s">
        <v>7</v>
      </c>
      <c r="J101" s="20">
        <f>+SQRT(J100)</f>
        <v>0.033571480813333214</v>
      </c>
      <c r="N101" s="21">
        <f>+N99+N100</f>
        <v>0.03350000000000001</v>
      </c>
    </row>
    <row r="102" spans="9:14" ht="15">
      <c r="I102" s="30" t="s">
        <v>8</v>
      </c>
      <c r="J102" s="47">
        <f>+(-J98+J101)/2</f>
        <v>2.674040666660396E-05</v>
      </c>
      <c r="K102" s="47"/>
      <c r="L102" s="43">
        <f>+-LOG10(J102)</f>
        <v>4.5728319922977025</v>
      </c>
      <c r="M102" s="43"/>
      <c r="N102" s="21">
        <f>+N98-N100</f>
        <v>0.049833333333333334</v>
      </c>
    </row>
    <row r="103" spans="9:14" ht="15">
      <c r="I103" s="30" t="s">
        <v>9</v>
      </c>
      <c r="J103" s="32">
        <f>+(-J98-J101)/2</f>
        <v>-0.03354474040666661</v>
      </c>
      <c r="K103" s="32"/>
      <c r="N103" s="45"/>
    </row>
    <row r="105" spans="9:16" ht="15">
      <c r="I105" s="15" t="s">
        <v>0</v>
      </c>
      <c r="J105" s="21">
        <f>1-N105</f>
        <v>0.37</v>
      </c>
      <c r="K105" s="21"/>
      <c r="N105" s="21">
        <v>0.63</v>
      </c>
      <c r="O105" s="21"/>
      <c r="P105" s="21"/>
    </row>
    <row r="106" spans="9:18" ht="15">
      <c r="I106" s="15" t="s">
        <v>2</v>
      </c>
      <c r="J106" s="21">
        <f>+-N106</f>
        <v>2.52</v>
      </c>
      <c r="K106" s="21"/>
      <c r="N106" s="21">
        <f>+-+N105*4</f>
        <v>-2.52</v>
      </c>
      <c r="O106" s="21"/>
      <c r="P106" s="21"/>
      <c r="Q106" s="21"/>
      <c r="R106" s="21"/>
    </row>
    <row r="107" spans="9:17" ht="15">
      <c r="I107" s="15" t="s">
        <v>4</v>
      </c>
      <c r="J107" s="21">
        <f>+-N107</f>
        <v>-1.8900000000000001</v>
      </c>
      <c r="K107" s="21"/>
      <c r="N107" s="21">
        <f>+N105*3</f>
        <v>1.8900000000000001</v>
      </c>
      <c r="O107" s="21"/>
      <c r="P107" s="21"/>
      <c r="Q107" s="21"/>
    </row>
    <row r="108" spans="9:14" ht="15">
      <c r="I108" s="15" t="s">
        <v>6</v>
      </c>
      <c r="J108" s="20">
        <f>+J106^2-4*J105*J107</f>
        <v>9.1476</v>
      </c>
      <c r="N108" s="21"/>
    </row>
    <row r="109" spans="9:18" ht="15">
      <c r="I109" s="15" t="s">
        <v>7</v>
      </c>
      <c r="J109" s="20">
        <f>+SQRT(J108)</f>
        <v>3.0244999586708543</v>
      </c>
      <c r="N109" s="42">
        <f>3-J110</f>
        <v>2.31824329909344</v>
      </c>
      <c r="O109" s="55">
        <f>+N109/$N$113</f>
        <v>0.57956082477336</v>
      </c>
      <c r="P109" s="55"/>
      <c r="Q109" s="35">
        <f>+O109*2</f>
        <v>1.15912164954672</v>
      </c>
      <c r="R109" s="32">
        <f>+Q111^2/(Q109*Q110)</f>
        <v>0.6299999999999992</v>
      </c>
    </row>
    <row r="110" spans="9:17" ht="15">
      <c r="I110" s="30" t="s">
        <v>8</v>
      </c>
      <c r="J110" s="50">
        <f>+(-J106+J109)/(2*J105)</f>
        <v>0.6817567009065598</v>
      </c>
      <c r="K110" s="50"/>
      <c r="L110" s="43"/>
      <c r="M110" s="43"/>
      <c r="N110" s="35">
        <f>1-J110</f>
        <v>0.3182432990934402</v>
      </c>
      <c r="O110" s="56">
        <f>+N110/$N$113</f>
        <v>0.07956082477336004</v>
      </c>
      <c r="P110" s="56"/>
      <c r="Q110" s="35">
        <f>+O110*2</f>
        <v>0.1591216495467201</v>
      </c>
    </row>
    <row r="111" spans="9:17" ht="15">
      <c r="I111" s="30"/>
      <c r="J111" s="32"/>
      <c r="K111" s="32"/>
      <c r="N111" s="35">
        <f>J110</f>
        <v>0.6817567009065598</v>
      </c>
      <c r="O111" s="56">
        <f>+N111/$N$113</f>
        <v>0.17043917522663996</v>
      </c>
      <c r="P111" s="56"/>
      <c r="Q111" s="35">
        <f>+O111*2</f>
        <v>0.3408783504532799</v>
      </c>
    </row>
    <row r="112" spans="14:17" ht="15">
      <c r="N112" s="35">
        <f>J110</f>
        <v>0.6817567009065598</v>
      </c>
      <c r="O112" s="56">
        <f>+N112/$N$113</f>
        <v>0.17043917522663996</v>
      </c>
      <c r="P112" s="56"/>
      <c r="Q112" s="35">
        <f>+O112*2</f>
        <v>0.3408783504532799</v>
      </c>
    </row>
    <row r="113" spans="14:17" ht="15">
      <c r="N113" s="42">
        <f>+SUM(N109:N112)</f>
        <v>4</v>
      </c>
      <c r="O113" s="42">
        <f>+SUM(O109:O112)</f>
        <v>1</v>
      </c>
      <c r="P113" s="42"/>
      <c r="Q113" s="35">
        <f>+SUM(Q109:Q112)</f>
        <v>2</v>
      </c>
    </row>
    <row r="116" spans="9:19" ht="15">
      <c r="I116" s="15" t="s">
        <v>0</v>
      </c>
      <c r="J116" s="21">
        <f>1+N116</f>
        <v>1.1066666666666667</v>
      </c>
      <c r="K116" s="21"/>
      <c r="N116" s="57">
        <f>0.32/3</f>
        <v>0.10666666666666667</v>
      </c>
      <c r="O116" s="21">
        <f>+N116+O120+O121</f>
        <v>3.416873590639557</v>
      </c>
      <c r="P116" s="21"/>
      <c r="R116" s="46">
        <f>5.3*N116</f>
        <v>0.5653333333333334</v>
      </c>
      <c r="S116" s="21">
        <f>+R116+5.3</f>
        <v>5.865333333333333</v>
      </c>
    </row>
    <row r="117" spans="9:19" ht="15">
      <c r="I117" s="15" t="s">
        <v>2</v>
      </c>
      <c r="J117" s="21">
        <f>S116</f>
        <v>5.865333333333333</v>
      </c>
      <c r="K117" s="21"/>
      <c r="N117" s="21">
        <f>+N116*N122*N123</f>
        <v>2.08</v>
      </c>
      <c r="O117" s="21">
        <f>+N117-N118</f>
        <v>1.8133333333333335</v>
      </c>
      <c r="P117" s="21"/>
      <c r="Q117" s="21"/>
      <c r="R117" s="21">
        <f>+N116*19.5</f>
        <v>2.08</v>
      </c>
      <c r="S117" s="21">
        <f>+(N120*N121)-R117</f>
        <v>4.740000000000001</v>
      </c>
    </row>
    <row r="118" spans="9:17" ht="15">
      <c r="I118" s="15" t="s">
        <v>4</v>
      </c>
      <c r="J118" s="21">
        <f>S117</f>
        <v>4.740000000000001</v>
      </c>
      <c r="K118" s="21"/>
      <c r="N118" s="21">
        <f>+N116*N122</f>
        <v>0.26666666666666666</v>
      </c>
      <c r="O118" s="21">
        <f>+N118-N117</f>
        <v>-1.8133333333333335</v>
      </c>
      <c r="P118" s="21"/>
      <c r="Q118" s="21"/>
    </row>
    <row r="119" spans="9:14" ht="15">
      <c r="I119" s="15" t="s">
        <v>7</v>
      </c>
      <c r="J119" s="21">
        <f>+(J117^2)-4*J116*J118</f>
        <v>13.419735111111102</v>
      </c>
      <c r="K119" s="21"/>
      <c r="N119" s="21"/>
    </row>
    <row r="120" spans="9:20" ht="15">
      <c r="I120" s="15" t="s">
        <v>6</v>
      </c>
      <c r="J120" s="21">
        <f>+SQRT(J119)</f>
        <v>3.6632956625299986</v>
      </c>
      <c r="K120" s="21"/>
      <c r="L120" s="15" t="s">
        <v>20</v>
      </c>
      <c r="M120" s="15"/>
      <c r="N120" s="58">
        <v>3.1</v>
      </c>
      <c r="O120" s="59">
        <f>+N120+$J$121</f>
        <v>2.1051034619864453</v>
      </c>
      <c r="P120" s="59"/>
      <c r="Q120" s="42">
        <f>+O120/$O$123</f>
        <v>0.30934187463065466</v>
      </c>
      <c r="R120" s="57">
        <f>+Q120*3</f>
        <v>0.928025623891964</v>
      </c>
      <c r="S120" s="57">
        <f>+O120*0.082*673/R120</f>
        <v>125.18214655106135</v>
      </c>
      <c r="T120" s="57">
        <f>+O120/S120</f>
        <v>0.016816323413401297</v>
      </c>
    </row>
    <row r="121" spans="9:20" ht="15">
      <c r="I121" s="30" t="s">
        <v>8</v>
      </c>
      <c r="J121" s="50">
        <f>+(-J117+J120)/(2*J116)</f>
        <v>-0.9948965380135547</v>
      </c>
      <c r="K121" s="50"/>
      <c r="L121" s="15" t="s">
        <v>21</v>
      </c>
      <c r="M121" s="15"/>
      <c r="N121" s="58">
        <v>2.2</v>
      </c>
      <c r="O121" s="59">
        <f>+N121+$J$121</f>
        <v>1.2051034619864454</v>
      </c>
      <c r="P121" s="59"/>
      <c r="Q121" s="42">
        <f>+O121/$O$123</f>
        <v>0.1770881910492907</v>
      </c>
      <c r="R121" s="57">
        <f>+Q121*3</f>
        <v>0.531264573147872</v>
      </c>
      <c r="S121" s="57">
        <f>+O121*0.082*673/R121</f>
        <v>125.18214655106138</v>
      </c>
      <c r="T121" s="57">
        <f>+O121/S121</f>
        <v>0.009626799788857172</v>
      </c>
    </row>
    <row r="122" spans="9:20" ht="15">
      <c r="I122" s="30" t="s">
        <v>9</v>
      </c>
      <c r="J122" s="32">
        <f>+(-J117-J120)/(2*J116)</f>
        <v>-4.3051034619864454</v>
      </c>
      <c r="K122" s="32"/>
      <c r="L122" s="15" t="s">
        <v>22</v>
      </c>
      <c r="M122" s="15"/>
      <c r="N122" s="58">
        <v>2.5</v>
      </c>
      <c r="O122" s="59">
        <f>+N122-$J$121</f>
        <v>3.494896538013555</v>
      </c>
      <c r="P122" s="59"/>
      <c r="Q122" s="42">
        <f>+O122/$O$123</f>
        <v>0.5135699343200545</v>
      </c>
      <c r="R122" s="57">
        <f>+Q122*3</f>
        <v>1.5407098029601634</v>
      </c>
      <c r="S122" s="57">
        <f>+O122*0.082*673/R122</f>
        <v>125.18214655106136</v>
      </c>
      <c r="T122" s="57">
        <f>+O122/S122</f>
        <v>0.02791849025042879</v>
      </c>
    </row>
    <row r="123" spans="14:20" ht="15">
      <c r="N123" s="58">
        <f>+SUM(N120:N122)</f>
        <v>7.800000000000001</v>
      </c>
      <c r="O123" s="58">
        <f>+N123+J121</f>
        <v>6.805103461986446</v>
      </c>
      <c r="P123" s="58"/>
      <c r="Q123" s="58">
        <f>+SUM(Q120:Q122)</f>
        <v>0.9999999999999998</v>
      </c>
      <c r="R123" s="58">
        <f>+SUM(R120:R122)</f>
        <v>2.999999999999999</v>
      </c>
      <c r="T123" s="58"/>
    </row>
    <row r="124" spans="14:17" ht="15">
      <c r="N124" s="35"/>
      <c r="Q124" s="58"/>
    </row>
    <row r="125" spans="15:20" ht="15">
      <c r="O125" s="35"/>
      <c r="P125" s="35"/>
      <c r="Q125" s="35">
        <f>+Q120*Q121/Q122</f>
        <v>0.10666666666666658</v>
      </c>
      <c r="R125" s="20">
        <f>+R120*R121/R122</f>
        <v>0.31999999999999973</v>
      </c>
      <c r="T125" s="31">
        <f>+T120*T121/T122</f>
        <v>0.00579857210161997</v>
      </c>
    </row>
    <row r="126" spans="15:18" ht="15">
      <c r="O126" s="31"/>
      <c r="P126" s="31"/>
      <c r="R126" s="35">
        <f>+R125/3</f>
        <v>0.10666666666666658</v>
      </c>
    </row>
    <row r="129" spans="9:11" ht="15">
      <c r="I129" s="15" t="s">
        <v>0</v>
      </c>
      <c r="J129" s="21">
        <v>1</v>
      </c>
      <c r="K129" s="21"/>
    </row>
    <row r="130" spans="9:11" ht="15">
      <c r="I130" s="15" t="s">
        <v>2</v>
      </c>
      <c r="J130" s="21">
        <f>0.0000135+1</f>
        <v>1.0000135</v>
      </c>
      <c r="K130" s="21"/>
    </row>
    <row r="131" spans="9:11" ht="15">
      <c r="I131" s="15" t="s">
        <v>4</v>
      </c>
      <c r="J131" s="21">
        <v>-1.35E-06</v>
      </c>
      <c r="K131" s="21"/>
    </row>
    <row r="132" spans="9:16" ht="15">
      <c r="I132" s="15" t="s">
        <v>7</v>
      </c>
      <c r="J132" s="21">
        <f>+(J130^2)-4*J129*J131</f>
        <v>1.0000324001822503</v>
      </c>
      <c r="K132" s="21"/>
      <c r="O132" s="31"/>
      <c r="P132" s="31"/>
    </row>
    <row r="133" spans="9:11" ht="15">
      <c r="I133" s="15" t="s">
        <v>6</v>
      </c>
      <c r="J133" s="21">
        <f>+SQRT(J132)</f>
        <v>1.0000161999599058</v>
      </c>
      <c r="K133" s="21"/>
    </row>
    <row r="134" spans="9:17" ht="15">
      <c r="I134" s="30" t="s">
        <v>8</v>
      </c>
      <c r="J134" s="50">
        <f>+(-J130+J133)/(2*J129)</f>
        <v>1.3499799528249312E-06</v>
      </c>
      <c r="K134" s="50"/>
      <c r="L134" s="35">
        <v>1</v>
      </c>
      <c r="M134" s="35"/>
      <c r="N134" s="21">
        <f>+L134+J134</f>
        <v>1.0000013499799527</v>
      </c>
      <c r="O134" s="20">
        <f>1-0.1</f>
        <v>0.9</v>
      </c>
      <c r="Q134" s="20">
        <f>+(L134-N134)/O134</f>
        <v>-1.4999777252376766E-06</v>
      </c>
    </row>
    <row r="135" spans="9:11" ht="15">
      <c r="I135" s="30" t="s">
        <v>9</v>
      </c>
      <c r="J135" s="21">
        <f>+(-J130-J133)/(2*J129)</f>
        <v>-1.0000148499799528</v>
      </c>
      <c r="K135" s="21"/>
    </row>
    <row r="137" spans="10:11" ht="15">
      <c r="J137" s="42">
        <f>+-LOG10(J134)</f>
        <v>5.869672680721405</v>
      </c>
      <c r="K137" s="42"/>
    </row>
    <row r="138" ht="15">
      <c r="J138" s="20">
        <v>0.15</v>
      </c>
    </row>
    <row r="139" spans="10:11" ht="15">
      <c r="J139" s="42">
        <f>+J137+J138</f>
        <v>6.019672680721405</v>
      </c>
      <c r="K139" s="42"/>
    </row>
    <row r="140" spans="10:11" ht="15">
      <c r="J140" s="21">
        <f>10^-J139</f>
        <v>9.55712616605505E-07</v>
      </c>
      <c r="K140" s="21"/>
    </row>
    <row r="141" spans="10:11" ht="15">
      <c r="J141" s="21">
        <v>1.35E-05</v>
      </c>
      <c r="K141" s="21"/>
    </row>
    <row r="142" spans="10:11" ht="15">
      <c r="J142" s="21">
        <f>+J140*J141</f>
        <v>1.2902120324174316E-11</v>
      </c>
      <c r="K142" s="21"/>
    </row>
    <row r="143" spans="10:11" ht="15">
      <c r="J143" s="21">
        <f>+J140^2</f>
        <v>9.133866055389408E-13</v>
      </c>
      <c r="K143" s="21"/>
    </row>
    <row r="144" spans="10:11" ht="15">
      <c r="J144" s="21">
        <f>+J142+J143</f>
        <v>1.3815506929713256E-11</v>
      </c>
      <c r="K144" s="21"/>
    </row>
    <row r="145" spans="10:11" ht="15">
      <c r="J145" s="21">
        <f>+J144/J141</f>
        <v>1.0233708836824635E-06</v>
      </c>
      <c r="K145" s="21"/>
    </row>
    <row r="146" spans="10:11" ht="15">
      <c r="J146" s="60">
        <f>0.1*250/J145</f>
        <v>24429071.022658803</v>
      </c>
      <c r="K146" s="60"/>
    </row>
    <row r="147" spans="10:11" ht="15">
      <c r="J147" s="60">
        <f>+J146-250</f>
        <v>24428821.022658803</v>
      </c>
      <c r="K147" s="60"/>
    </row>
    <row r="149" spans="9:15" ht="15">
      <c r="I149" s="15" t="s">
        <v>0</v>
      </c>
      <c r="J149" s="21">
        <v>1</v>
      </c>
      <c r="K149" s="21"/>
      <c r="O149" s="20">
        <f>0.025/(0.25+Q134)</f>
        <v>0.10000059999469002</v>
      </c>
    </row>
    <row r="150" spans="9:16" ht="15">
      <c r="I150" s="15" t="s">
        <v>2</v>
      </c>
      <c r="J150" s="21">
        <f>O152</f>
        <v>0.10001409999469002</v>
      </c>
      <c r="K150" s="21"/>
      <c r="O150" s="21">
        <v>1.35E-05</v>
      </c>
      <c r="P150" s="21"/>
    </row>
    <row r="151" spans="9:16" ht="15">
      <c r="I151" s="15" t="s">
        <v>4</v>
      </c>
      <c r="J151" s="21">
        <f>+-O151</f>
        <v>-1.3500080999283153E-06</v>
      </c>
      <c r="K151" s="21"/>
      <c r="O151" s="49">
        <f>+O149*O150</f>
        <v>1.3500080999283153E-06</v>
      </c>
      <c r="P151" s="49"/>
    </row>
    <row r="152" spans="9:16" ht="15">
      <c r="I152" s="15" t="s">
        <v>7</v>
      </c>
      <c r="J152" s="21">
        <f>+(J150^2)-4*J149*J151</f>
        <v>0.010008220230147568</v>
      </c>
      <c r="K152" s="21"/>
      <c r="O152" s="49">
        <f>+O149+O150</f>
        <v>0.10001409999469002</v>
      </c>
      <c r="P152" s="49"/>
    </row>
    <row r="153" spans="9:11" ht="15">
      <c r="I153" s="15" t="s">
        <v>6</v>
      </c>
      <c r="J153" s="21">
        <f>+SQRT(J152)</f>
        <v>0.10004109270768471</v>
      </c>
      <c r="K153" s="21"/>
    </row>
    <row r="154" spans="9:14" ht="15">
      <c r="I154" s="30" t="s">
        <v>8</v>
      </c>
      <c r="J154" s="50">
        <f>+(-J150+J153)/(2*J149)</f>
        <v>1.3496356497347262E-05</v>
      </c>
      <c r="K154" s="50"/>
      <c r="L154" s="61">
        <f>+O149+J154</f>
        <v>0.10001409635118737</v>
      </c>
      <c r="M154" s="61"/>
      <c r="N154" s="20">
        <f>-LOG10(L154)</f>
        <v>0.9999387846391083</v>
      </c>
    </row>
    <row r="155" spans="9:11" ht="15">
      <c r="I155" s="30" t="s">
        <v>9</v>
      </c>
      <c r="J155" s="21">
        <f>+(-J150-J153)/(2*J149)</f>
        <v>-0.10002759635118737</v>
      </c>
      <c r="K155" s="21"/>
    </row>
    <row r="158" spans="9:14" ht="15">
      <c r="I158" s="15" t="s">
        <v>0</v>
      </c>
      <c r="J158" s="57">
        <v>1</v>
      </c>
      <c r="K158" s="57"/>
      <c r="N158" s="57">
        <f>2.3/53.49</f>
        <v>0.04299869134417648</v>
      </c>
    </row>
    <row r="159" spans="9:14" ht="15">
      <c r="I159" s="15" t="s">
        <v>2</v>
      </c>
      <c r="J159" s="57">
        <v>1.8E-05</v>
      </c>
      <c r="K159" s="57"/>
      <c r="N159" s="57">
        <f>+N158*1000/1200</f>
        <v>0.03583224278681373</v>
      </c>
    </row>
    <row r="160" spans="9:16" ht="15">
      <c r="I160" s="15" t="s">
        <v>4</v>
      </c>
      <c r="J160" s="57">
        <v>-1.8E-06</v>
      </c>
      <c r="K160" s="57"/>
      <c r="N160" s="57">
        <f>0.00000000000001/0.000018</f>
        <v>5.555555555555555E-10</v>
      </c>
      <c r="O160" s="57">
        <f>+N159*N160</f>
        <v>1.9906801548229852E-11</v>
      </c>
      <c r="P160" s="57"/>
    </row>
    <row r="161" spans="9:14" ht="15">
      <c r="I161" s="15" t="s">
        <v>7</v>
      </c>
      <c r="J161" s="21">
        <f>+(J159^2)-4*J158*J160</f>
        <v>7.200323999999999E-06</v>
      </c>
      <c r="K161" s="21"/>
      <c r="N161" s="57">
        <f>+N159*N160</f>
        <v>1.9906801548229852E-11</v>
      </c>
    </row>
    <row r="162" spans="9:11" ht="15">
      <c r="I162" s="15" t="s">
        <v>6</v>
      </c>
      <c r="J162" s="21">
        <f>+SQRT(J161)</f>
        <v>0.0026833419461559497</v>
      </c>
      <c r="K162" s="21"/>
    </row>
    <row r="163" spans="9:16" ht="15">
      <c r="I163" s="30" t="s">
        <v>8</v>
      </c>
      <c r="J163" s="47">
        <f>+(-J159+J162)/(2*J158)</f>
        <v>0.001332670973077975</v>
      </c>
      <c r="K163" s="47"/>
      <c r="L163" s="32">
        <f>+-LOG10(J163)</f>
        <v>2.8752770615501357</v>
      </c>
      <c r="M163" s="32"/>
      <c r="N163" s="20">
        <f>+SQRT(N160*N159)</f>
        <v>4.461703883969649E-06</v>
      </c>
      <c r="O163" s="42">
        <f>+-LOG10(N163)</f>
        <v>5.350499256514177</v>
      </c>
      <c r="P163" s="42"/>
    </row>
    <row r="164" spans="9:11" ht="15">
      <c r="I164" s="30" t="s">
        <v>9</v>
      </c>
      <c r="J164" s="21">
        <f>+(-J159-J162)/(2*J158)</f>
        <v>-0.0013506709730779747</v>
      </c>
      <c r="K164" s="21"/>
    </row>
    <row r="166" spans="9:19" ht="15">
      <c r="I166" s="15" t="s">
        <v>0</v>
      </c>
      <c r="J166" s="57">
        <v>1</v>
      </c>
      <c r="K166" s="57"/>
      <c r="N166" s="20">
        <f>31.2/208.25</f>
        <v>0.14981992797118848</v>
      </c>
      <c r="Q166" s="21">
        <f>J171</f>
        <v>0.26161600397733775</v>
      </c>
      <c r="R166" s="42">
        <v>1.8</v>
      </c>
      <c r="S166" s="58">
        <f>+R166*(0.0821*(273+250))</f>
        <v>77.28894000000001</v>
      </c>
    </row>
    <row r="167" spans="9:17" ht="15">
      <c r="I167" s="15" t="s">
        <v>2</v>
      </c>
      <c r="J167" s="57">
        <f>N168</f>
        <v>1.8</v>
      </c>
      <c r="K167" s="57"/>
      <c r="N167" s="20">
        <f>+N166/0.5</f>
        <v>0.29963985594237696</v>
      </c>
      <c r="Q167" s="21">
        <f>J171</f>
        <v>0.26161600397733775</v>
      </c>
    </row>
    <row r="168" spans="9:17" ht="15">
      <c r="I168" s="15" t="s">
        <v>4</v>
      </c>
      <c r="J168" s="57">
        <f>-N169</f>
        <v>-0.5393517406962786</v>
      </c>
      <c r="K168" s="57"/>
      <c r="N168" s="20">
        <v>1.8</v>
      </c>
      <c r="Q168" s="21">
        <f>N170</f>
        <v>0.03802385196503921</v>
      </c>
    </row>
    <row r="169" spans="9:16" ht="15">
      <c r="I169" s="15" t="s">
        <v>7</v>
      </c>
      <c r="J169" s="21">
        <f>+(J167^2)-4*J166*J168</f>
        <v>5.397406962785114</v>
      </c>
      <c r="K169" s="21"/>
      <c r="N169" s="20">
        <f>+N167*N168</f>
        <v>0.5393517406962786</v>
      </c>
      <c r="O169" s="21">
        <f>+J171^2/N170</f>
        <v>1.7999999999999952</v>
      </c>
      <c r="P169" s="21"/>
    </row>
    <row r="170" spans="9:14" ht="15">
      <c r="I170" s="15" t="s">
        <v>6</v>
      </c>
      <c r="J170" s="21">
        <f>+SQRT(J169)</f>
        <v>2.3232320079546755</v>
      </c>
      <c r="K170" s="21"/>
      <c r="N170" s="21">
        <f>+N167-J171</f>
        <v>0.03802385196503921</v>
      </c>
    </row>
    <row r="171" spans="9:11" ht="15">
      <c r="I171" s="30" t="s">
        <v>8</v>
      </c>
      <c r="J171" s="50">
        <f>+(-J167+J170)/(2*J166)</f>
        <v>0.26161600397733775</v>
      </c>
      <c r="K171" s="50"/>
    </row>
    <row r="172" spans="9:11" ht="15">
      <c r="I172" s="30" t="s">
        <v>9</v>
      </c>
      <c r="J172" s="21">
        <f>+(-J167-J170)/(2*J166)</f>
        <v>-2.061616003977338</v>
      </c>
      <c r="K172" s="21"/>
    </row>
    <row r="174" spans="9:16" ht="15">
      <c r="I174" s="15" t="s">
        <v>0</v>
      </c>
      <c r="J174" s="57">
        <v>1</v>
      </c>
      <c r="K174" s="57"/>
      <c r="N174" s="21">
        <f>+N168*N170</f>
        <v>0.06844293353707058</v>
      </c>
      <c r="O174" s="21">
        <f>+J179*N175/N176</f>
        <v>1.799999999999971</v>
      </c>
      <c r="P174" s="21"/>
    </row>
    <row r="175" spans="9:14" ht="15">
      <c r="I175" s="15" t="s">
        <v>2</v>
      </c>
      <c r="J175" s="57">
        <f>+N168+0.2</f>
        <v>2</v>
      </c>
      <c r="K175" s="57"/>
      <c r="N175" s="21">
        <f>0.2+J179</f>
        <v>0.23365513278707734</v>
      </c>
    </row>
    <row r="176" spans="9:14" ht="15">
      <c r="I176" s="15" t="s">
        <v>4</v>
      </c>
      <c r="J176" s="57">
        <f>-N174</f>
        <v>-0.06844293353707058</v>
      </c>
      <c r="K176" s="57"/>
      <c r="N176" s="21">
        <f>+N170-J179</f>
        <v>0.004368719177961888</v>
      </c>
    </row>
    <row r="177" spans="9:11" ht="15">
      <c r="I177" s="15" t="s">
        <v>7</v>
      </c>
      <c r="J177" s="21">
        <f>+(J175^2)-4*J174*J176</f>
        <v>4.273771734148283</v>
      </c>
      <c r="K177" s="21"/>
    </row>
    <row r="178" spans="9:11" ht="15">
      <c r="I178" s="15" t="s">
        <v>6</v>
      </c>
      <c r="J178" s="21">
        <f>+SQRT(J177)</f>
        <v>2.0673102655741546</v>
      </c>
      <c r="K178" s="21"/>
    </row>
    <row r="179" spans="9:11" ht="15">
      <c r="I179" s="30" t="s">
        <v>8</v>
      </c>
      <c r="J179" s="50">
        <f>+(-J175+J178)/(2*J174)</f>
        <v>0.033655132787077324</v>
      </c>
      <c r="K179" s="50"/>
    </row>
    <row r="180" spans="9:11" ht="15">
      <c r="I180" s="30" t="s">
        <v>9</v>
      </c>
      <c r="J180" s="21">
        <f>+(-J175-J178)/(2*J174)</f>
        <v>-2.0336551327870773</v>
      </c>
      <c r="K180" s="21"/>
    </row>
    <row r="182" spans="14:15" ht="15">
      <c r="N182" s="20">
        <v>1.93</v>
      </c>
      <c r="O182" s="20">
        <f>10^-N182</f>
        <v>0.011748975549395293</v>
      </c>
    </row>
    <row r="183" spans="14:18" ht="15">
      <c r="N183" s="42">
        <v>0.4</v>
      </c>
      <c r="O183" s="21">
        <f>+((10^-N182)^2)/N183</f>
        <v>0.00034509606615072105</v>
      </c>
      <c r="P183" s="21"/>
      <c r="Q183" s="20">
        <f>+O183*N183/N187</f>
        <v>0.0005796233527067512</v>
      </c>
      <c r="R183" s="32">
        <f>+-LOG10(Q183)</f>
        <v>3.2368541253620604</v>
      </c>
    </row>
    <row r="184" spans="14:19" ht="15">
      <c r="N184" s="35">
        <f>+N183*50/1000</f>
        <v>0.02</v>
      </c>
      <c r="O184" s="21">
        <f>+((10^-N182)^2)/(N183-O182)</f>
        <v>0.00035553911713593017</v>
      </c>
      <c r="P184" s="21"/>
      <c r="Q184" s="20">
        <f>+O184*N183/N187</f>
        <v>0.0005971635011415084</v>
      </c>
      <c r="R184" s="32">
        <f>+-LOG10(Q184)</f>
        <v>3.2239067443784357</v>
      </c>
      <c r="S184" s="42">
        <f>+R184-N182</f>
        <v>1.2939067443784358</v>
      </c>
    </row>
    <row r="186" ht="15">
      <c r="N186" s="20">
        <f>0.5/41.99</f>
        <v>0.011907597046915932</v>
      </c>
    </row>
    <row r="187" ht="15">
      <c r="N187" s="20">
        <f>+N186*1000/50</f>
        <v>0.23815194093831862</v>
      </c>
    </row>
    <row r="190" spans="9:19" ht="15">
      <c r="I190" s="15" t="s">
        <v>0</v>
      </c>
      <c r="J190" s="57">
        <f>1-0.12</f>
        <v>0.88</v>
      </c>
      <c r="K190" s="57"/>
      <c r="N190" s="42">
        <f>10/6</f>
        <v>1.6666666666666667</v>
      </c>
      <c r="O190" s="20">
        <f>+N190*2</f>
        <v>3.3333333333333335</v>
      </c>
      <c r="Q190" s="42">
        <f>+O190*2</f>
        <v>6.666666666666667</v>
      </c>
      <c r="R190" s="35">
        <f>+Q190*0.03</f>
        <v>0.2</v>
      </c>
      <c r="S190" s="20">
        <f>0.03*4</f>
        <v>0.12</v>
      </c>
    </row>
    <row r="191" spans="9:15" ht="15">
      <c r="I191" s="15" t="s">
        <v>2</v>
      </c>
      <c r="J191" s="57">
        <f>R190</f>
        <v>0.2</v>
      </c>
      <c r="K191" s="57"/>
      <c r="N191" s="42">
        <f>+N190^2</f>
        <v>2.777777777777778</v>
      </c>
      <c r="O191" s="20">
        <f>+N191*0.03</f>
        <v>0.08333333333333334</v>
      </c>
    </row>
    <row r="192" spans="9:11" ht="15">
      <c r="I192" s="15" t="s">
        <v>4</v>
      </c>
      <c r="J192" s="57">
        <f>-O191</f>
        <v>-0.08333333333333334</v>
      </c>
      <c r="K192" s="57"/>
    </row>
    <row r="193" spans="9:16" ht="15">
      <c r="I193" s="15" t="s">
        <v>7</v>
      </c>
      <c r="J193" s="21">
        <f>+(J191^2)-4*J190*J192</f>
        <v>0.33333333333333337</v>
      </c>
      <c r="K193" s="21"/>
      <c r="N193" s="21">
        <f>+N190-2*J195</f>
        <v>1.2378595425875465</v>
      </c>
      <c r="O193" s="21">
        <f>+J195^2/N193^2</f>
        <v>0.030000000000000006</v>
      </c>
      <c r="P193" s="21"/>
    </row>
    <row r="194" spans="9:11" ht="15">
      <c r="I194" s="15" t="s">
        <v>6</v>
      </c>
      <c r="J194" s="21">
        <f>+SQRT(J193)</f>
        <v>0.5773502691896258</v>
      </c>
      <c r="K194" s="21"/>
    </row>
    <row r="195" spans="9:11" ht="15">
      <c r="I195" s="30" t="s">
        <v>8</v>
      </c>
      <c r="J195" s="50">
        <f>+(-J191+J194)/(2*J190)</f>
        <v>0.21440356203956012</v>
      </c>
      <c r="K195" s="50"/>
    </row>
    <row r="196" spans="9:11" ht="15">
      <c r="I196" s="30" t="s">
        <v>9</v>
      </c>
      <c r="J196" s="21">
        <f>+(-J191-J194)/(2*J190)</f>
        <v>-0.4416762893122875</v>
      </c>
      <c r="K196" s="21"/>
    </row>
    <row r="198" spans="20:21" ht="15">
      <c r="T198" s="7" t="s">
        <v>33</v>
      </c>
      <c r="U198" s="7" t="s">
        <v>29</v>
      </c>
    </row>
    <row r="199" spans="14:21" ht="15">
      <c r="N199" s="60">
        <f>464*523/273</f>
        <v>888.9084249084249</v>
      </c>
      <c r="O199" s="20">
        <v>1524</v>
      </c>
      <c r="Q199" s="20">
        <f>+O199-N199</f>
        <v>635.0915750915751</v>
      </c>
      <c r="R199" s="20">
        <f>+Q199/2</f>
        <v>317.54578754578756</v>
      </c>
      <c r="S199" s="42">
        <f>+R199/760</f>
        <v>0.41782340466550993</v>
      </c>
      <c r="T199" s="35">
        <f>+S199^2/S200</f>
        <v>0.14925953942133025</v>
      </c>
      <c r="U199" s="21">
        <f>+T199/0.0821/523</f>
        <v>0.003476139936171908</v>
      </c>
    </row>
    <row r="200" spans="14:20" ht="15">
      <c r="N200" s="42">
        <f>+N199/760</f>
        <v>1.169616348563717</v>
      </c>
      <c r="O200" s="42">
        <f>+O199/760</f>
        <v>2.0052631578947366</v>
      </c>
      <c r="P200" s="42"/>
      <c r="Q200" s="42">
        <f>+O200-N200</f>
        <v>0.8356468093310196</v>
      </c>
      <c r="R200" s="42">
        <f>+Q200/2</f>
        <v>0.4178234046655098</v>
      </c>
      <c r="S200" s="42">
        <f>+N199/760</f>
        <v>1.169616348563717</v>
      </c>
      <c r="T200" s="35">
        <f>+R200^2/S200</f>
        <v>0.1492595394213302</v>
      </c>
    </row>
    <row r="202" spans="9:16" ht="15">
      <c r="I202" s="15" t="s">
        <v>0</v>
      </c>
      <c r="J202" s="57">
        <v>1</v>
      </c>
      <c r="K202" s="57"/>
      <c r="O202" s="42">
        <f>464/760*73.5/0.0821/273</f>
        <v>2.0021007263779236</v>
      </c>
      <c r="P202" s="42"/>
    </row>
    <row r="203" spans="9:16" ht="15">
      <c r="I203" s="15" t="s">
        <v>2</v>
      </c>
      <c r="J203" s="21">
        <f>U199</f>
        <v>0.003476139936171908</v>
      </c>
      <c r="K203" s="21"/>
      <c r="O203" s="21">
        <f>+U199*O202</f>
        <v>0.0069595822912010856</v>
      </c>
      <c r="P203" s="21"/>
    </row>
    <row r="204" spans="9:21" ht="15">
      <c r="I204" s="15" t="s">
        <v>4</v>
      </c>
      <c r="J204" s="21">
        <f>-O203</f>
        <v>-0.0069595822912010856</v>
      </c>
      <c r="K204" s="21"/>
      <c r="O204" s="7" t="s">
        <v>56</v>
      </c>
      <c r="P204" s="7"/>
      <c r="Q204" s="7" t="s">
        <v>32</v>
      </c>
      <c r="R204" s="7" t="s">
        <v>11</v>
      </c>
      <c r="S204" s="7" t="s">
        <v>57</v>
      </c>
      <c r="T204" s="7" t="s">
        <v>33</v>
      </c>
      <c r="U204" s="7" t="s">
        <v>29</v>
      </c>
    </row>
    <row r="205" spans="9:21" ht="15">
      <c r="I205" s="15" t="s">
        <v>7</v>
      </c>
      <c r="J205" s="21">
        <f>+(J203^2)-4*J202*J204</f>
        <v>0.02785041271366019</v>
      </c>
      <c r="K205" s="21"/>
      <c r="N205" s="20" t="s">
        <v>53</v>
      </c>
      <c r="O205" s="21">
        <f>J207</f>
        <v>0.0817041446382813</v>
      </c>
      <c r="P205" s="21"/>
      <c r="Q205" s="42">
        <f>+O205*73.5</f>
        <v>6.005254630913675</v>
      </c>
      <c r="R205" s="35">
        <f>+Q205/$Q$208</f>
        <v>0.03920911491028275</v>
      </c>
      <c r="S205" s="20">
        <f>+R205*$O$199/760</f>
        <v>0.07862459358325119</v>
      </c>
      <c r="T205" s="20">
        <f>+S205^2/S207</f>
        <v>0.003345119038085731</v>
      </c>
      <c r="U205" s="21">
        <f>+O205*O206/O207</f>
        <v>0.003476139936171908</v>
      </c>
    </row>
    <row r="206" spans="9:19" ht="15">
      <c r="I206" s="15" t="s">
        <v>6</v>
      </c>
      <c r="J206" s="21">
        <f>+SQRT(J205)</f>
        <v>0.1668844292127345</v>
      </c>
      <c r="K206" s="21"/>
      <c r="N206" s="20" t="s">
        <v>54</v>
      </c>
      <c r="O206" s="21">
        <f>J207</f>
        <v>0.0817041446382813</v>
      </c>
      <c r="P206" s="21"/>
      <c r="Q206" s="42">
        <f>+O206*73.5</f>
        <v>6.005254630913675</v>
      </c>
      <c r="R206" s="35">
        <f>+Q206/$Q$208</f>
        <v>0.03920911491028275</v>
      </c>
      <c r="S206" s="20">
        <f>+R206*$O$199/760</f>
        <v>0.07862459358325119</v>
      </c>
    </row>
    <row r="207" spans="9:19" ht="15">
      <c r="I207" s="30" t="s">
        <v>8</v>
      </c>
      <c r="J207" s="50">
        <f>+(-J203+J206)/(2*J202)</f>
        <v>0.0817041446382813</v>
      </c>
      <c r="K207" s="50"/>
      <c r="N207" s="20" t="s">
        <v>55</v>
      </c>
      <c r="O207" s="21">
        <f>+O202-O206</f>
        <v>1.9203965817396422</v>
      </c>
      <c r="P207" s="21"/>
      <c r="Q207" s="42">
        <f>+O207*73.5</f>
        <v>141.1491487578637</v>
      </c>
      <c r="R207" s="35">
        <f>+Q207/$Q$208</f>
        <v>0.9215817701794345</v>
      </c>
      <c r="S207" s="20">
        <f>+R207*$O$199/760</f>
        <v>1.8480139707282346</v>
      </c>
    </row>
    <row r="208" spans="9:19" ht="15">
      <c r="I208" s="30" t="s">
        <v>9</v>
      </c>
      <c r="J208" s="21">
        <f>+(-J203-J206)/(2*J202)</f>
        <v>-0.0851802845744532</v>
      </c>
      <c r="K208" s="21"/>
      <c r="Q208" s="42">
        <f>+SUM(Q205:Q207)</f>
        <v>153.15965801969105</v>
      </c>
      <c r="R208" s="42">
        <f>+SUM(R205:R207)</f>
        <v>1</v>
      </c>
      <c r="S208" s="31">
        <f>+SUM(S205:S207)</f>
        <v>2.005263157894737</v>
      </c>
    </row>
    <row r="211" spans="12:22" ht="15">
      <c r="L211" s="62">
        <f>0.0821*523/O200</f>
        <v>21.412800524934386</v>
      </c>
      <c r="M211" s="62"/>
      <c r="Q211" s="7" t="s">
        <v>32</v>
      </c>
      <c r="R211" s="7" t="s">
        <v>56</v>
      </c>
      <c r="S211" s="7" t="s">
        <v>29</v>
      </c>
      <c r="T211" s="7" t="s">
        <v>33</v>
      </c>
      <c r="U211" s="7" t="s">
        <v>39</v>
      </c>
      <c r="V211" s="7" t="s">
        <v>61</v>
      </c>
    </row>
    <row r="212" spans="12:22" ht="15">
      <c r="L212" s="20">
        <f>(L211/2)-(1/4)</f>
        <v>10.456400262467193</v>
      </c>
      <c r="O212" s="15" t="s">
        <v>58</v>
      </c>
      <c r="P212" s="15"/>
      <c r="Q212" s="20">
        <f>3-1.2</f>
        <v>1.8</v>
      </c>
      <c r="R212" s="42">
        <f>+Q212/2</f>
        <v>0.9</v>
      </c>
      <c r="S212" s="35">
        <f>+R213*R214/R212^2</f>
        <v>0.48148148148148145</v>
      </c>
      <c r="T212" s="35">
        <f>S212</f>
        <v>0.48148148148148145</v>
      </c>
      <c r="U212" s="35">
        <f>T212</f>
        <v>0.48148148148148145</v>
      </c>
      <c r="V212" s="58">
        <v>1</v>
      </c>
    </row>
    <row r="213" spans="15:18" ht="15">
      <c r="O213" s="15" t="s">
        <v>59</v>
      </c>
      <c r="P213" s="15"/>
      <c r="Q213" s="20">
        <v>2.6</v>
      </c>
      <c r="R213" s="20">
        <f>+Q213/2</f>
        <v>1.3</v>
      </c>
    </row>
    <row r="214" spans="9:18" ht="15">
      <c r="I214" s="15" t="s">
        <v>0</v>
      </c>
      <c r="J214" s="46">
        <f>L212</f>
        <v>10.456400262467193</v>
      </c>
      <c r="K214" s="46"/>
      <c r="O214" s="15" t="s">
        <v>60</v>
      </c>
      <c r="P214" s="15"/>
      <c r="Q214" s="20">
        <v>0.6</v>
      </c>
      <c r="R214" s="42">
        <f>+Q214/2</f>
        <v>0.3</v>
      </c>
    </row>
    <row r="215" spans="9:17" ht="15">
      <c r="I215" s="15" t="s">
        <v>2</v>
      </c>
      <c r="J215" s="21">
        <f>-1/L211</f>
        <v>-0.0467010374862241</v>
      </c>
      <c r="K215" s="21"/>
      <c r="Q215" s="58">
        <f>+Q212+Q213+Q214</f>
        <v>5</v>
      </c>
    </row>
    <row r="216" spans="9:11" ht="15">
      <c r="I216" s="15" t="s">
        <v>4</v>
      </c>
      <c r="J216" s="21">
        <v>-1</v>
      </c>
      <c r="K216" s="21"/>
    </row>
    <row r="217" spans="9:11" ht="15">
      <c r="I217" s="15" t="s">
        <v>7</v>
      </c>
      <c r="J217" s="21">
        <f>+(J215^2)-4*J214*J216</f>
        <v>41.82778203677106</v>
      </c>
      <c r="K217" s="21"/>
    </row>
    <row r="218" spans="9:20" ht="15">
      <c r="I218" s="15" t="s">
        <v>6</v>
      </c>
      <c r="J218" s="21">
        <f>+SQRT(J217)</f>
        <v>6.467440145588598</v>
      </c>
      <c r="K218" s="21"/>
      <c r="Q218" s="7" t="s">
        <v>11</v>
      </c>
      <c r="R218" s="7" t="s">
        <v>57</v>
      </c>
      <c r="S218" s="7"/>
      <c r="T218" s="7" t="s">
        <v>33</v>
      </c>
    </row>
    <row r="219" spans="9:20" ht="15">
      <c r="I219" s="30" t="s">
        <v>8</v>
      </c>
      <c r="J219" s="50">
        <f>+(-J215+J218)/(2*J214)</f>
        <v>0.3114906191214321</v>
      </c>
      <c r="K219" s="50"/>
      <c r="O219" s="15" t="s">
        <v>58</v>
      </c>
      <c r="P219" s="15"/>
      <c r="Q219" s="20">
        <f>+Q212/$Q$215</f>
        <v>0.36</v>
      </c>
      <c r="R219" s="20">
        <f>Q219</f>
        <v>0.36</v>
      </c>
      <c r="T219" s="35">
        <f>+R220*R221/R219^2</f>
        <v>0.4814814814814815</v>
      </c>
    </row>
    <row r="220" spans="9:18" ht="15">
      <c r="I220" s="30" t="s">
        <v>9</v>
      </c>
      <c r="J220" s="21">
        <f>+(-J215-J218)/(2*J214)</f>
        <v>-0.3070243557502932</v>
      </c>
      <c r="K220" s="21"/>
      <c r="O220" s="15" t="s">
        <v>59</v>
      </c>
      <c r="P220" s="15"/>
      <c r="Q220" s="20">
        <f>+Q213/$Q$215</f>
        <v>0.52</v>
      </c>
      <c r="R220" s="20">
        <f>Q220</f>
        <v>0.52</v>
      </c>
    </row>
    <row r="221" spans="15:18" ht="15">
      <c r="O221" s="15" t="s">
        <v>60</v>
      </c>
      <c r="P221" s="15"/>
      <c r="Q221" s="20">
        <f>+Q214/$Q$215</f>
        <v>0.12</v>
      </c>
      <c r="R221" s="20">
        <f>Q221</f>
        <v>0.12</v>
      </c>
    </row>
    <row r="222" ht="15">
      <c r="Q222" s="58">
        <f>+Q219+Q220+Q221</f>
        <v>1</v>
      </c>
    </row>
    <row r="223" spans="9:11" ht="15">
      <c r="I223" s="15" t="s">
        <v>0</v>
      </c>
      <c r="J223" s="46">
        <v>4</v>
      </c>
      <c r="K223" s="46"/>
    </row>
    <row r="224" spans="9:11" ht="15">
      <c r="I224" s="15" t="s">
        <v>2</v>
      </c>
      <c r="J224" s="21">
        <v>1E-05</v>
      </c>
      <c r="K224" s="21"/>
    </row>
    <row r="225" spans="9:11" ht="15">
      <c r="I225" s="15" t="s">
        <v>4</v>
      </c>
      <c r="J225" s="21">
        <f>+-0.00001</f>
        <v>-1E-05</v>
      </c>
      <c r="K225" s="21"/>
    </row>
    <row r="226" spans="9:11" ht="15">
      <c r="I226" s="15" t="s">
        <v>7</v>
      </c>
      <c r="J226" s="21">
        <f>+(J224^2)-4*J223*J225</f>
        <v>0.00016000010000000002</v>
      </c>
      <c r="K226" s="21"/>
    </row>
    <row r="227" spans="9:11" ht="15">
      <c r="I227" s="15" t="s">
        <v>6</v>
      </c>
      <c r="J227" s="21">
        <f>+SQRT(J226)</f>
        <v>0.012649114593519976</v>
      </c>
      <c r="K227" s="21"/>
    </row>
    <row r="228" spans="9:16" ht="15">
      <c r="I228" s="30" t="s">
        <v>8</v>
      </c>
      <c r="J228" s="50">
        <f>+(-J224+J227)/(2*J223)</f>
        <v>0.001579889324189997</v>
      </c>
      <c r="K228" s="50"/>
      <c r="L228" s="20">
        <f>+J228*2</f>
        <v>0.003159778648379994</v>
      </c>
      <c r="N228" s="21">
        <f>1-J228</f>
        <v>0.99842011067581</v>
      </c>
      <c r="O228" s="21">
        <f>+L228^2/N228</f>
        <v>1.0000000000000003E-05</v>
      </c>
      <c r="P228" s="21"/>
    </row>
    <row r="229" spans="9:11" ht="15">
      <c r="I229" s="30" t="s">
        <v>9</v>
      </c>
      <c r="J229" s="21">
        <f>+(-J224-J227)/(2*J223)</f>
        <v>-0.001582389324189997</v>
      </c>
      <c r="K229" s="21"/>
    </row>
    <row r="230" spans="19:20" ht="15">
      <c r="S230" s="8"/>
      <c r="T230" s="8"/>
    </row>
    <row r="231" spans="9:22" ht="15">
      <c r="I231" s="15" t="s">
        <v>0</v>
      </c>
      <c r="J231" s="46">
        <v>1</v>
      </c>
      <c r="K231" s="46"/>
      <c r="N231" s="20">
        <v>0.3</v>
      </c>
      <c r="Q231" s="35">
        <v>0.18</v>
      </c>
      <c r="R231" s="20">
        <v>0.3</v>
      </c>
      <c r="S231" s="57"/>
      <c r="T231" s="57"/>
      <c r="U231" s="21">
        <v>0.0005</v>
      </c>
      <c r="V231" s="21">
        <f>+U232*U231</f>
        <v>0.00015</v>
      </c>
    </row>
    <row r="232" spans="9:22" ht="15">
      <c r="I232" s="15" t="s">
        <v>2</v>
      </c>
      <c r="J232" s="21">
        <f>N232</f>
        <v>0.0005</v>
      </c>
      <c r="K232" s="21"/>
      <c r="N232" s="63">
        <v>0.0005</v>
      </c>
      <c r="O232" s="43"/>
      <c r="P232" s="43"/>
      <c r="Q232" s="20">
        <v>0.002</v>
      </c>
      <c r="R232" s="58">
        <v>1</v>
      </c>
      <c r="S232" s="57"/>
      <c r="U232" s="20">
        <v>0.3</v>
      </c>
      <c r="V232" s="21">
        <f>+U231*U236</f>
        <v>5.494505494505495E-06</v>
      </c>
    </row>
    <row r="233" spans="9:22" ht="15">
      <c r="I233" s="15" t="s">
        <v>4</v>
      </c>
      <c r="J233" s="21">
        <f>-N233</f>
        <v>-0.00015</v>
      </c>
      <c r="K233" s="21"/>
      <c r="N233" s="21">
        <f>+N231*N232</f>
        <v>0.00015</v>
      </c>
      <c r="R233" s="57">
        <f>+R231*Q231*0.001</f>
        <v>5.4E-05</v>
      </c>
      <c r="S233" s="57"/>
      <c r="U233" s="21">
        <v>1E-14</v>
      </c>
      <c r="V233" s="21">
        <f>+U231*U233</f>
        <v>5E-18</v>
      </c>
    </row>
    <row r="234" spans="9:22" ht="15">
      <c r="I234" s="15" t="s">
        <v>7</v>
      </c>
      <c r="J234" s="21">
        <f>+(J232^2)-4*J231*J233</f>
        <v>0.00060025</v>
      </c>
      <c r="K234" s="21"/>
      <c r="N234" s="21">
        <f>+SQRT(N231*N232)</f>
        <v>0.01224744871391589</v>
      </c>
      <c r="O234" s="43">
        <f>+-LOG10(N234)</f>
        <v>1.9119543704721593</v>
      </c>
      <c r="P234" s="43"/>
      <c r="R234" s="57">
        <f>+R232*Q232*0.001</f>
        <v>2E-06</v>
      </c>
      <c r="S234" s="21">
        <f>+R234/0.182*0.001</f>
        <v>1.0989010989010988E-08</v>
      </c>
      <c r="T234" s="46">
        <v>0.018551095730621296</v>
      </c>
      <c r="U234" s="21">
        <v>2E-06</v>
      </c>
      <c r="V234" s="21">
        <f>+V232-U233-V231</f>
        <v>-0.00014450549451549448</v>
      </c>
    </row>
    <row r="235" spans="9:21" ht="15">
      <c r="I235" s="15" t="s">
        <v>6</v>
      </c>
      <c r="J235" s="21">
        <f>+SQRT(J234)</f>
        <v>0.0245</v>
      </c>
      <c r="K235" s="21"/>
      <c r="R235" s="57">
        <f>+R233-R234</f>
        <v>5.2E-05</v>
      </c>
      <c r="S235" s="21">
        <f>+R235/0.182*0.001</f>
        <v>2.857142857142857E-07</v>
      </c>
      <c r="T235" s="46">
        <v>0.2814489042693787</v>
      </c>
      <c r="U235" s="21">
        <v>0.182</v>
      </c>
    </row>
    <row r="236" spans="9:21" ht="15">
      <c r="I236" s="30" t="s">
        <v>8</v>
      </c>
      <c r="J236" s="50">
        <f>+(-J232+J235)/(2*J231)</f>
        <v>0.012</v>
      </c>
      <c r="K236" s="50"/>
      <c r="L236" s="43">
        <f>+-LOG10(J236)</f>
        <v>1.9208187539523751</v>
      </c>
      <c r="M236" s="43"/>
      <c r="R236" s="57">
        <f>+N232*R235/R234</f>
        <v>0.013</v>
      </c>
      <c r="S236" s="57">
        <f>+N232*S235/S234</f>
        <v>0.013000000000000001</v>
      </c>
      <c r="T236" s="21">
        <f>+N232*T235/T234</f>
        <v>0.007585775750291831</v>
      </c>
      <c r="U236" s="21">
        <f>+U234*1000/U235</f>
        <v>0.01098901098901099</v>
      </c>
    </row>
    <row r="237" spans="9:20" ht="15">
      <c r="I237" s="30" t="s">
        <v>9</v>
      </c>
      <c r="J237" s="21">
        <f>+(-J232-J235)/(2*J231)</f>
        <v>-0.0125</v>
      </c>
      <c r="K237" s="21"/>
      <c r="R237" s="43">
        <f>+-LOG10(R236)</f>
        <v>1.8860566476931633</v>
      </c>
      <c r="S237" s="43">
        <f>+-LOG10(S236)</f>
        <v>1.8860566476931633</v>
      </c>
      <c r="T237" s="43">
        <f>+-LOG10(T236)</f>
        <v>2.1200000000000006</v>
      </c>
    </row>
    <row r="239" ht="15">
      <c r="S239" s="31"/>
    </row>
    <row r="240" spans="18:19" ht="15">
      <c r="R240" s="30"/>
      <c r="S240" s="32"/>
    </row>
    <row r="241" spans="18:21" ht="15">
      <c r="R241" s="15"/>
      <c r="S241" s="32"/>
      <c r="T241" s="57"/>
      <c r="U241" s="21"/>
    </row>
    <row r="242" spans="9:20" ht="15">
      <c r="I242" s="15" t="s">
        <v>0</v>
      </c>
      <c r="J242" s="46">
        <f>1-N247</f>
        <v>0.9999658064516129</v>
      </c>
      <c r="K242" s="46"/>
      <c r="N242" s="21">
        <f>1/0.000000062</f>
        <v>16129032.258064516</v>
      </c>
      <c r="R242" s="15"/>
      <c r="T242" s="57"/>
    </row>
    <row r="243" spans="9:21" ht="15">
      <c r="I243" s="15" t="s">
        <v>2</v>
      </c>
      <c r="J243" s="21">
        <f>+U236+U231</f>
        <v>0.01148901098901099</v>
      </c>
      <c r="K243" s="21"/>
      <c r="N243" s="21">
        <v>5.3E-13</v>
      </c>
      <c r="T243" s="57"/>
      <c r="U243" s="63"/>
    </row>
    <row r="244" spans="9:14" ht="15">
      <c r="I244" s="15" t="s">
        <v>4</v>
      </c>
      <c r="J244" s="21">
        <f>V234</f>
        <v>-0.00014450549451549448</v>
      </c>
      <c r="K244" s="21"/>
      <c r="N244" s="21">
        <f>+N242*N243</f>
        <v>8.548387096774192E-06</v>
      </c>
    </row>
    <row r="245" spans="9:14" ht="15">
      <c r="I245" s="15" t="s">
        <v>7</v>
      </c>
      <c r="J245" s="21">
        <f>+(J243^2)-4*J242*J244</f>
        <v>0.0007099995869451175</v>
      </c>
      <c r="K245" s="21"/>
      <c r="N245" s="21">
        <f>+N244*0.0001</f>
        <v>8.548387096774193E-10</v>
      </c>
    </row>
    <row r="246" spans="9:14" ht="15">
      <c r="I246" s="15" t="s">
        <v>6</v>
      </c>
      <c r="J246" s="21">
        <f>+SQRT(J245)</f>
        <v>0.026645817438110574</v>
      </c>
      <c r="K246" s="21"/>
      <c r="N246" s="21">
        <f>+N244*0.04</f>
        <v>3.419354838709677E-07</v>
      </c>
    </row>
    <row r="247" spans="9:14" ht="15">
      <c r="I247" s="30" t="s">
        <v>8</v>
      </c>
      <c r="J247" s="50">
        <f>+(-J243+J246)/(2*J242)</f>
        <v>0.00757866236590811</v>
      </c>
      <c r="K247" s="50"/>
      <c r="L247" s="43">
        <f>+-LOG10(J247)</f>
        <v>2.120407440590733</v>
      </c>
      <c r="M247" s="43"/>
      <c r="N247" s="21">
        <f>4*N244</f>
        <v>3.419354838709677E-05</v>
      </c>
    </row>
    <row r="248" spans="9:11" ht="15">
      <c r="I248" s="30" t="s">
        <v>9</v>
      </c>
      <c r="J248" s="21">
        <f>+(-J243-J246)/(2*J242)</f>
        <v>-0.01906806621840567</v>
      </c>
      <c r="K248" s="21"/>
    </row>
    <row r="250" spans="9:14" ht="15">
      <c r="I250" s="15" t="s">
        <v>0</v>
      </c>
      <c r="J250" s="46">
        <v>1</v>
      </c>
      <c r="K250" s="46"/>
      <c r="N250" s="20">
        <v>0.2</v>
      </c>
    </row>
    <row r="251" spans="9:16" ht="15">
      <c r="I251" s="15" t="s">
        <v>2</v>
      </c>
      <c r="J251" s="21">
        <v>1E-05</v>
      </c>
      <c r="K251" s="21"/>
      <c r="N251" s="63">
        <v>0.00069</v>
      </c>
      <c r="O251" s="43"/>
      <c r="P251" s="43"/>
    </row>
    <row r="252" spans="9:14" ht="15">
      <c r="I252" s="15" t="s">
        <v>4</v>
      </c>
      <c r="J252" s="21">
        <f>-J251*0.00001</f>
        <v>-1.0000000000000002E-10</v>
      </c>
      <c r="K252" s="21"/>
      <c r="N252" s="21">
        <f>+N250*N251</f>
        <v>0.000138</v>
      </c>
    </row>
    <row r="253" spans="9:16" ht="15">
      <c r="I253" s="15" t="s">
        <v>7</v>
      </c>
      <c r="J253" s="45">
        <f>+(J251^2)-4*J250*J252</f>
        <v>5.000000000000001E-10</v>
      </c>
      <c r="K253" s="45"/>
      <c r="N253" s="21">
        <f>+SQRT(N250*N251)</f>
        <v>0.01174734012447073</v>
      </c>
      <c r="O253" s="43">
        <f>+-LOG10(N253)</f>
        <v>1.9300604567993818</v>
      </c>
      <c r="P253" s="43"/>
    </row>
    <row r="254" spans="9:11" ht="15">
      <c r="I254" s="15" t="s">
        <v>6</v>
      </c>
      <c r="J254" s="64">
        <f>+SQRT(J253)</f>
        <v>2.23606797749979E-05</v>
      </c>
      <c r="K254" s="64"/>
    </row>
    <row r="255" spans="9:13" ht="15">
      <c r="I255" s="30" t="s">
        <v>8</v>
      </c>
      <c r="J255" s="50">
        <f>+(-J251+J254)/(2*J250)</f>
        <v>6.18033988749895E-06</v>
      </c>
      <c r="K255" s="50"/>
      <c r="L255" s="44">
        <f>+-LOG10(J255)</f>
        <v>5.208987640249979</v>
      </c>
      <c r="M255" s="44"/>
    </row>
    <row r="256" spans="9:11" ht="15">
      <c r="I256" s="30" t="s">
        <v>9</v>
      </c>
      <c r="J256" s="21">
        <f>+(-J251-J254)/(2*J250)</f>
        <v>-1.6180339887498952E-05</v>
      </c>
      <c r="K256" s="21"/>
    </row>
    <row r="258" spans="14:19" ht="15">
      <c r="N258" s="20">
        <v>0.25</v>
      </c>
      <c r="Q258" s="20">
        <f>40.5/68</f>
        <v>0.5955882352941176</v>
      </c>
      <c r="R258" s="20">
        <f>+Q261*0.49/Q258</f>
        <v>0.00017277037037037037</v>
      </c>
      <c r="S258" s="65">
        <f>+-LOG10(R258)</f>
        <v>3.762530735745999</v>
      </c>
    </row>
    <row r="259" spans="14:19" ht="15">
      <c r="N259" s="20">
        <f>10^-4.5</f>
        <v>3.162277660168375E-05</v>
      </c>
      <c r="Q259" s="20">
        <f>+Q258*2</f>
        <v>1.1911764705882353</v>
      </c>
      <c r="R259" s="20">
        <f>+Q261*0.98/Q259</f>
        <v>0.00017277037037037037</v>
      </c>
      <c r="S259" s="65">
        <f>+-LOG10(R259)</f>
        <v>3.762530735745999</v>
      </c>
    </row>
    <row r="260" spans="1:17" ht="15">
      <c r="A260" s="20" t="s">
        <v>311</v>
      </c>
      <c r="B260" s="46">
        <f>0.1575/(197.84/4)</f>
        <v>0.003184391427416094</v>
      </c>
      <c r="N260" s="42">
        <f>+N258-N259</f>
        <v>0.24996837722339832</v>
      </c>
      <c r="Q260" s="20">
        <v>0.98</v>
      </c>
    </row>
    <row r="261" spans="1:17" ht="15">
      <c r="A261" s="20" t="s">
        <v>312</v>
      </c>
      <c r="B261" s="46">
        <f>+B260*37.95/30</f>
        <v>0.004028255155681359</v>
      </c>
      <c r="N261" s="21">
        <v>1.8E-05</v>
      </c>
      <c r="Q261" s="21">
        <v>0.00021</v>
      </c>
    </row>
    <row r="262" spans="1:17" ht="15">
      <c r="A262" s="20" t="s">
        <v>313</v>
      </c>
      <c r="B262" s="46">
        <f>B261</f>
        <v>0.004028255155681359</v>
      </c>
      <c r="N262" s="20">
        <f>+N261*N260/N259</f>
        <v>0.14228449470757729</v>
      </c>
      <c r="Q262" s="21">
        <f>+Q261*Q260</f>
        <v>0.00020580000000000002</v>
      </c>
    </row>
    <row r="263" spans="1:17" ht="15">
      <c r="A263" s="20" t="s">
        <v>314</v>
      </c>
      <c r="B263" s="46">
        <f>+B262*30/(42.56)</f>
        <v>0.0028394655702641157</v>
      </c>
      <c r="N263" s="20">
        <v>82.03</v>
      </c>
      <c r="Q263" s="21">
        <f>+Q261+Q259</f>
        <v>1.1913864705882353</v>
      </c>
    </row>
    <row r="264" spans="1:18" ht="15">
      <c r="A264" s="20" t="s">
        <v>315</v>
      </c>
      <c r="B264" s="46">
        <f>+B263*(27.8333333333333)</f>
        <v>0.07903179170568454</v>
      </c>
      <c r="N264" s="20">
        <f>+N262*N263</f>
        <v>11.671597100862565</v>
      </c>
      <c r="Q264" s="21">
        <f>+Q262/Q263</f>
        <v>0.00017273991696278732</v>
      </c>
      <c r="R264" s="65">
        <f>+-LOG10(Q264)</f>
        <v>3.7626072935064343</v>
      </c>
    </row>
    <row r="265" spans="2:14" ht="15">
      <c r="B265" s="46"/>
      <c r="N265" s="20">
        <f>+N264*0.3</f>
        <v>3.5014791302587693</v>
      </c>
    </row>
    <row r="266" spans="1:2" ht="15">
      <c r="A266" s="20" t="s">
        <v>311</v>
      </c>
      <c r="B266" s="46">
        <f>0.1575/(197.84/4)</f>
        <v>0.003184391427416094</v>
      </c>
    </row>
    <row r="267" spans="1:19" ht="15">
      <c r="A267" s="20" t="s">
        <v>316</v>
      </c>
      <c r="B267" s="32">
        <f>+B266*1000/30</f>
        <v>0.1061463809138698</v>
      </c>
      <c r="Q267" s="20">
        <f>0.0038/0.022</f>
        <v>0.17272727272727273</v>
      </c>
      <c r="S267" s="20">
        <f>0.001/0.022</f>
        <v>0.045454545454545456</v>
      </c>
    </row>
    <row r="268" spans="1:19" ht="15">
      <c r="A268" s="20" t="s">
        <v>317</v>
      </c>
      <c r="B268" s="32">
        <f>+B267*37.95/42.56</f>
        <v>0.09464885234213719</v>
      </c>
      <c r="Q268" s="20">
        <f>+Q267*0.022</f>
        <v>0.0038</v>
      </c>
      <c r="S268" s="20">
        <f>+SQRT(0.00000000000001/0.01*S267)</f>
        <v>2.1320071635561043E-07</v>
      </c>
    </row>
    <row r="269" spans="1:19" ht="15">
      <c r="A269" s="20" t="s">
        <v>314</v>
      </c>
      <c r="B269" s="46">
        <f>+B268*30/1000</f>
        <v>0.0028394655702641157</v>
      </c>
      <c r="Q269" s="20">
        <f>+Q268/2</f>
        <v>0.0019</v>
      </c>
      <c r="S269" s="42">
        <f>+-LOG10(S268)</f>
        <v>6.671211340411103</v>
      </c>
    </row>
    <row r="270" spans="1:19" ht="15">
      <c r="A270" s="20" t="s">
        <v>315</v>
      </c>
      <c r="B270" s="46">
        <f>+B269*(27.8333333333333)</f>
        <v>0.07903179170568454</v>
      </c>
      <c r="Q270" s="62">
        <f>0.0018/0.032</f>
        <v>0.056249999999999994</v>
      </c>
      <c r="S270" s="42">
        <f>14-S269</f>
        <v>7.328788659588897</v>
      </c>
    </row>
    <row r="271" ht="15">
      <c r="Q271" s="42">
        <f>+-LOG10(Q270)</f>
        <v>1.2498774732166</v>
      </c>
    </row>
    <row r="272" ht="15">
      <c r="Q272" s="42">
        <f>14-Q271</f>
        <v>12.7501225267834</v>
      </c>
    </row>
    <row r="274" spans="1:4" ht="15">
      <c r="A274" s="35">
        <v>2.09</v>
      </c>
      <c r="B274" s="32">
        <v>0.794</v>
      </c>
      <c r="C274" s="62">
        <f>28.3*0.162/1000</f>
        <v>0.0045846</v>
      </c>
      <c r="D274" s="20" t="s">
        <v>318</v>
      </c>
    </row>
    <row r="275" spans="3:14" ht="15">
      <c r="C275" s="62">
        <f>50*0.198/1000</f>
        <v>0.0099</v>
      </c>
      <c r="D275" s="20" t="s">
        <v>319</v>
      </c>
      <c r="N275" s="21">
        <v>2.6E-13</v>
      </c>
    </row>
    <row r="276" spans="3:14" ht="15">
      <c r="C276" s="62">
        <f>+C275-C274</f>
        <v>0.0053154000000000005</v>
      </c>
      <c r="D276" s="20" t="s">
        <v>320</v>
      </c>
      <c r="N276" s="21">
        <f>+(N275/4)^(1/3)</f>
        <v>4.020725758589063E-05</v>
      </c>
    </row>
    <row r="277" spans="3:15" ht="15">
      <c r="C277" s="62">
        <f>+C276/2</f>
        <v>0.0026577000000000003</v>
      </c>
      <c r="D277" s="20" t="s">
        <v>321</v>
      </c>
      <c r="G277" s="62">
        <f>+C277*A274/B274</f>
        <v>0.006995709068010075</v>
      </c>
      <c r="H277" s="20" t="s">
        <v>331</v>
      </c>
      <c r="N277" s="32">
        <f>50*0.05/90</f>
        <v>0.027777777777777776</v>
      </c>
      <c r="O277" s="20">
        <f>+N277*2</f>
        <v>0.05555555555555555</v>
      </c>
    </row>
    <row r="278" spans="3:16" ht="15">
      <c r="C278" s="31">
        <f>+C277*100.09</f>
        <v>0.26600919300000003</v>
      </c>
      <c r="D278" s="20" t="s">
        <v>322</v>
      </c>
      <c r="G278" s="43">
        <f>+C278*A274/B274</f>
        <v>0.7002005206171285</v>
      </c>
      <c r="H278" s="98" t="s">
        <v>325</v>
      </c>
      <c r="I278" s="98"/>
      <c r="J278" s="44">
        <f>+G278/A274*100</f>
        <v>33.502417254408066</v>
      </c>
      <c r="K278" s="351">
        <f>+J278+J283+J289</f>
        <v>92.64491241487079</v>
      </c>
      <c r="N278" s="32">
        <f>40*0.2/90</f>
        <v>0.08888888888888889</v>
      </c>
      <c r="O278" s="32">
        <f>+N278-O277</f>
        <v>0.03333333333333334</v>
      </c>
      <c r="P278" s="32"/>
    </row>
    <row r="279" spans="3:16" ht="15">
      <c r="C279" s="32"/>
      <c r="G279" s="32"/>
      <c r="K279" s="351"/>
      <c r="N279" s="32"/>
      <c r="O279" s="32"/>
      <c r="P279" s="32"/>
    </row>
    <row r="280" spans="11:14" ht="15">
      <c r="K280" s="351"/>
      <c r="N280" s="21">
        <f>+N277*N278^2</f>
        <v>0.00021947873799725651</v>
      </c>
    </row>
    <row r="281" spans="3:11" ht="15">
      <c r="C281" s="31">
        <f>25.3*0.234/1000</f>
        <v>0.0059202000000000005</v>
      </c>
      <c r="D281" s="20" t="s">
        <v>326</v>
      </c>
      <c r="G281" s="31">
        <f>+C281*A274/B274</f>
        <v>0.015583397984886648</v>
      </c>
      <c r="H281" s="20" t="s">
        <v>332</v>
      </c>
      <c r="K281" s="351"/>
    </row>
    <row r="282" spans="3:11" ht="15">
      <c r="C282" s="32">
        <f>+C281*2</f>
        <v>0.011840400000000001</v>
      </c>
      <c r="D282" s="20" t="s">
        <v>327</v>
      </c>
      <c r="G282" s="62">
        <f>+G281-G277</f>
        <v>0.008587688916876574</v>
      </c>
      <c r="H282" s="20" t="s">
        <v>333</v>
      </c>
      <c r="K282" s="351"/>
    </row>
    <row r="283" spans="7:14" ht="15">
      <c r="G283" s="43">
        <f>+G282*110.99</f>
        <v>0.953147592884131</v>
      </c>
      <c r="H283" s="98" t="s">
        <v>334</v>
      </c>
      <c r="I283" s="98"/>
      <c r="J283" s="44">
        <f>+G283/A274*100</f>
        <v>45.60514798488665</v>
      </c>
      <c r="K283" s="351"/>
      <c r="L283" s="15" t="s">
        <v>58</v>
      </c>
      <c r="M283" s="15"/>
      <c r="N283" s="20">
        <f>1-0.2</f>
        <v>0.8</v>
      </c>
    </row>
    <row r="284" spans="7:13" ht="15">
      <c r="G284" s="31">
        <f>+G282*2</f>
        <v>0.01717537783375315</v>
      </c>
      <c r="H284" s="20" t="s">
        <v>329</v>
      </c>
      <c r="K284" s="351"/>
      <c r="L284" s="15"/>
      <c r="M284" s="15"/>
    </row>
    <row r="285" spans="2:14" ht="15">
      <c r="B285" s="32">
        <f>+A274-B274</f>
        <v>1.2959999999999998</v>
      </c>
      <c r="C285" s="31">
        <f>50*0.36/1000</f>
        <v>0.018</v>
      </c>
      <c r="D285" s="20" t="s">
        <v>323</v>
      </c>
      <c r="K285" s="351"/>
      <c r="L285" s="15" t="s">
        <v>59</v>
      </c>
      <c r="M285" s="15"/>
      <c r="N285" s="35">
        <f>1+0.2/3</f>
        <v>1.0666666666666667</v>
      </c>
    </row>
    <row r="286" spans="3:14" ht="15">
      <c r="C286" s="62">
        <f>23.5*0.185/1000</f>
        <v>0.0043475</v>
      </c>
      <c r="D286" s="20" t="s">
        <v>324</v>
      </c>
      <c r="K286" s="351"/>
      <c r="L286" s="15" t="s">
        <v>60</v>
      </c>
      <c r="M286" s="15"/>
      <c r="N286" s="35">
        <f>2+0.4/3</f>
        <v>2.1333333333333333</v>
      </c>
    </row>
    <row r="287" spans="3:14" ht="15">
      <c r="C287" s="31">
        <f>+C285-C286</f>
        <v>0.013652499999999998</v>
      </c>
      <c r="D287" s="20" t="s">
        <v>328</v>
      </c>
      <c r="G287" s="31">
        <f>+C287*A274/B285</f>
        <v>0.022016763117283948</v>
      </c>
      <c r="H287" s="20" t="s">
        <v>330</v>
      </c>
      <c r="K287" s="351"/>
      <c r="L287" s="15" t="s">
        <v>62</v>
      </c>
      <c r="M287" s="15"/>
      <c r="N287" s="32">
        <f>0.2/3</f>
        <v>0.06666666666666667</v>
      </c>
    </row>
    <row r="288" spans="7:14" ht="15">
      <c r="G288" s="62">
        <f>+G287-G284</f>
        <v>0.0048413852835308</v>
      </c>
      <c r="H288" s="20" t="s">
        <v>335</v>
      </c>
      <c r="K288" s="351"/>
      <c r="L288" s="15" t="s">
        <v>29</v>
      </c>
      <c r="M288" s="15"/>
      <c r="N288" s="35">
        <f>+N285*N286^2*N287/N283^3</f>
        <v>0.6320987654320986</v>
      </c>
    </row>
    <row r="289" spans="7:14" ht="15">
      <c r="G289" s="43">
        <f>+G288*58.44</f>
        <v>0.2829305559695399</v>
      </c>
      <c r="H289" s="98" t="s">
        <v>336</v>
      </c>
      <c r="I289" s="98"/>
      <c r="J289" s="44">
        <f>+G289/A274*100</f>
        <v>13.537347175576073</v>
      </c>
      <c r="K289" s="351"/>
      <c r="L289" s="15" t="s">
        <v>33</v>
      </c>
      <c r="M289" s="15"/>
      <c r="N289" s="42">
        <f>+N288*0.0821*900</f>
        <v>46.70577777777777</v>
      </c>
    </row>
    <row r="290" ht="15">
      <c r="K290" s="42">
        <f>100-K278</f>
        <v>7.355087585129212</v>
      </c>
    </row>
    <row r="291" spans="1:3" ht="15">
      <c r="A291" s="32">
        <f>5/311.8</f>
        <v>0.01603592046183451</v>
      </c>
      <c r="B291" s="20">
        <v>0.016</v>
      </c>
      <c r="C291" s="20">
        <f>+A291*2</f>
        <v>0.03207184092366902</v>
      </c>
    </row>
    <row r="292" spans="1:15" ht="15">
      <c r="A292" s="21">
        <f>+(2*A291)^2*A291</f>
        <v>1.6494595577824422E-05</v>
      </c>
      <c r="B292" s="57">
        <f>+(2*B291)^2*B291</f>
        <v>1.6384E-05</v>
      </c>
      <c r="I292" s="15" t="s">
        <v>0</v>
      </c>
      <c r="J292" s="46">
        <v>1</v>
      </c>
      <c r="K292" s="46"/>
      <c r="N292" s="21">
        <v>1E-05</v>
      </c>
      <c r="O292" s="20">
        <v>1</v>
      </c>
    </row>
    <row r="293" spans="1:16" ht="15">
      <c r="A293" s="21">
        <f>4*(A291)^3</f>
        <v>1.6494595577824422E-05</v>
      </c>
      <c r="C293" s="21">
        <f>0.0000000000011/(0.001^2)</f>
        <v>1.1E-06</v>
      </c>
      <c r="I293" s="15" t="s">
        <v>2</v>
      </c>
      <c r="J293" s="21">
        <v>1E-05</v>
      </c>
      <c r="K293" s="21"/>
      <c r="N293" s="20">
        <v>1E-05</v>
      </c>
      <c r="O293" s="21">
        <f>N292</f>
        <v>1E-05</v>
      </c>
      <c r="P293" s="21"/>
    </row>
    <row r="294" spans="1:16" ht="15">
      <c r="A294" s="21">
        <f>+A293/(0.001^2)</f>
        <v>16.494595577824423</v>
      </c>
      <c r="B294" s="21">
        <f>+A294*0.6</f>
        <v>9.896757346694654</v>
      </c>
      <c r="C294" s="21">
        <f>+C293*0.6</f>
        <v>6.6E-07</v>
      </c>
      <c r="I294" s="15" t="s">
        <v>4</v>
      </c>
      <c r="J294" s="21">
        <f>-J293*0.00001</f>
        <v>-1.0000000000000002E-10</v>
      </c>
      <c r="K294" s="21"/>
      <c r="N294" s="21">
        <v>1E-14</v>
      </c>
      <c r="O294" s="21">
        <f>+-N292*N293+N294</f>
        <v>-9.999000000000002E-11</v>
      </c>
      <c r="P294" s="21"/>
    </row>
    <row r="295" spans="1:16" ht="15">
      <c r="A295" s="21">
        <f>+A294*142.04</f>
        <v>2342.892355874181</v>
      </c>
      <c r="B295" s="21">
        <f>+B294*142.04</f>
        <v>1405.7354135245087</v>
      </c>
      <c r="C295" s="21">
        <f>+C294*194.19</f>
        <v>0.00012816540000000002</v>
      </c>
      <c r="I295" s="15" t="s">
        <v>7</v>
      </c>
      <c r="J295" s="45">
        <f>+(J293^2)-4*J292*J294</f>
        <v>5.000000000000001E-10</v>
      </c>
      <c r="K295" s="45"/>
      <c r="O295" s="21">
        <f>+-N292*N294</f>
        <v>-1.0000000000000001E-19</v>
      </c>
      <c r="P295" s="21"/>
    </row>
    <row r="296" spans="1:11" ht="15">
      <c r="A296" s="21">
        <f>+A295*0.6</f>
        <v>1405.7354135245084</v>
      </c>
      <c r="I296" s="15" t="s">
        <v>6</v>
      </c>
      <c r="J296" s="64">
        <f>+SQRT(J295)</f>
        <v>2.23606797749979E-05</v>
      </c>
      <c r="K296" s="64"/>
    </row>
    <row r="297" spans="9:13" ht="15">
      <c r="I297" s="30" t="s">
        <v>8</v>
      </c>
      <c r="J297" s="50">
        <f>+(-J293+J296)/(2*J292)</f>
        <v>6.18033988749895E-06</v>
      </c>
      <c r="K297" s="50"/>
      <c r="L297" s="44">
        <f>+-LOG10(J297)</f>
        <v>5.208987640249979</v>
      </c>
      <c r="M297" s="44"/>
    </row>
    <row r="298" spans="2:11" ht="15">
      <c r="B298" s="20">
        <f>0.003218*5000</f>
        <v>16.09</v>
      </c>
      <c r="I298" s="30" t="s">
        <v>9</v>
      </c>
      <c r="J298" s="21">
        <f>+(-J293-J296)/(2*J292)</f>
        <v>-1.6180339887498952E-05</v>
      </c>
      <c r="K298" s="21"/>
    </row>
    <row r="299" spans="1:2" ht="15">
      <c r="A299" s="35">
        <f>5/22.4</f>
        <v>0.22321428571428573</v>
      </c>
      <c r="B299" s="35">
        <f>+B298/70.906</f>
        <v>0.2269201478013144</v>
      </c>
    </row>
    <row r="300" spans="1:14" ht="15">
      <c r="A300" s="35">
        <f>0.25*0.55</f>
        <v>0.1375</v>
      </c>
      <c r="B300" s="35">
        <f>0.25*0.55</f>
        <v>0.1375</v>
      </c>
      <c r="I300" s="15" t="s">
        <v>0</v>
      </c>
      <c r="J300" s="46">
        <v>1</v>
      </c>
      <c r="K300" s="46"/>
      <c r="N300" s="21">
        <f>10^-10.83</f>
        <v>1.4791083881682027E-11</v>
      </c>
    </row>
    <row r="301" spans="1:14" ht="15">
      <c r="A301" s="20">
        <f>+A300/5</f>
        <v>0.027500000000000004</v>
      </c>
      <c r="B301" s="20">
        <f>+B300/5</f>
        <v>0.027500000000000004</v>
      </c>
      <c r="I301" s="15" t="s">
        <v>2</v>
      </c>
      <c r="J301" s="21">
        <f>N300</f>
        <v>1.4791083881682027E-11</v>
      </c>
      <c r="K301" s="21"/>
      <c r="N301" s="20">
        <v>0.05</v>
      </c>
    </row>
    <row r="302" spans="1:14" ht="15">
      <c r="A302" s="20">
        <f>+A300*2</f>
        <v>0.275</v>
      </c>
      <c r="B302" s="20">
        <f>+B300*2</f>
        <v>0.275</v>
      </c>
      <c r="I302" s="15" t="s">
        <v>4</v>
      </c>
      <c r="J302" s="21">
        <f>-N302</f>
        <v>-7.395541940841014E-13</v>
      </c>
      <c r="K302" s="21"/>
      <c r="N302" s="21">
        <f>+N300*N301</f>
        <v>7.395541940841014E-13</v>
      </c>
    </row>
    <row r="303" spans="1:11" ht="15">
      <c r="A303" s="32">
        <f>+A301*2</f>
        <v>0.05500000000000001</v>
      </c>
      <c r="B303" s="32">
        <f>+B301*2</f>
        <v>0.05500000000000001</v>
      </c>
      <c r="C303" s="35">
        <f>+B303/0.55</f>
        <v>0.1</v>
      </c>
      <c r="D303" s="32"/>
      <c r="E303" s="32"/>
      <c r="F303" s="32"/>
      <c r="I303" s="15" t="s">
        <v>7</v>
      </c>
      <c r="J303" s="45">
        <f>+(J301^2)-4*J300*J302</f>
        <v>2.958216776555182E-12</v>
      </c>
      <c r="K303" s="45"/>
    </row>
    <row r="304" spans="1:11" ht="15">
      <c r="A304" s="35">
        <f>+A299-A301</f>
        <v>0.19571428571428573</v>
      </c>
      <c r="B304" s="35">
        <f>+B299-B301</f>
        <v>0.1994201478013144</v>
      </c>
      <c r="I304" s="15" t="s">
        <v>6</v>
      </c>
      <c r="J304" s="64">
        <f>+SQRT(J303)</f>
        <v>1.7199467365459845E-06</v>
      </c>
      <c r="K304" s="64"/>
    </row>
    <row r="305" spans="9:14" ht="15">
      <c r="I305" s="30" t="s">
        <v>8</v>
      </c>
      <c r="J305" s="50">
        <f>+(-J301+J304)/(2*J300)</f>
        <v>8.599659727310514E-07</v>
      </c>
      <c r="K305" s="50"/>
      <c r="L305" s="44">
        <f>+-LOG10(J305)</f>
        <v>6.065518732648875</v>
      </c>
      <c r="M305" s="44"/>
      <c r="N305" s="42">
        <f>14-L305</f>
        <v>7.934481267351125</v>
      </c>
    </row>
    <row r="306" spans="1:11" ht="15">
      <c r="A306" s="32">
        <v>0.021</v>
      </c>
      <c r="B306" s="20" t="s">
        <v>337</v>
      </c>
      <c r="C306" s="32">
        <v>0.021</v>
      </c>
      <c r="D306" s="32">
        <v>0.021</v>
      </c>
      <c r="E306" s="32"/>
      <c r="F306" s="32"/>
      <c r="G306" s="20" t="s">
        <v>337</v>
      </c>
      <c r="I306" s="30" t="s">
        <v>9</v>
      </c>
      <c r="J306" s="21">
        <f>+(-J301-J304)/(2*J300)</f>
        <v>-8.599807638149331E-07</v>
      </c>
      <c r="K306" s="21"/>
    </row>
    <row r="307" spans="1:7" ht="15">
      <c r="A307" s="20">
        <f>+A306*5</f>
        <v>0.10500000000000001</v>
      </c>
      <c r="B307" s="20" t="s">
        <v>338</v>
      </c>
      <c r="C307" s="32">
        <f>+C306*2</f>
        <v>0.042</v>
      </c>
      <c r="D307" s="20">
        <f>+D306*5</f>
        <v>0.10500000000000001</v>
      </c>
      <c r="G307" s="20" t="s">
        <v>338</v>
      </c>
    </row>
    <row r="308" spans="1:17" ht="15">
      <c r="A308" s="35">
        <f>25*A307/26.1</f>
        <v>0.10057471264367818</v>
      </c>
      <c r="B308" s="20" t="s">
        <v>339</v>
      </c>
      <c r="C308" s="32">
        <f>25*C307/26.1</f>
        <v>0.040229885057471264</v>
      </c>
      <c r="D308" s="35">
        <f>25*D307/26.1</f>
        <v>0.10057471264367818</v>
      </c>
      <c r="E308" s="35"/>
      <c r="F308" s="35"/>
      <c r="G308" s="20" t="s">
        <v>339</v>
      </c>
      <c r="I308" s="15" t="s">
        <v>0</v>
      </c>
      <c r="J308" s="46">
        <v>1</v>
      </c>
      <c r="K308" s="46"/>
      <c r="N308" s="21">
        <v>1.1E-06</v>
      </c>
      <c r="O308" s="21">
        <f>+N308+J313</f>
        <v>1.1090169943749475E-06</v>
      </c>
      <c r="P308" s="21"/>
      <c r="Q308" s="44"/>
    </row>
    <row r="309" spans="1:14" ht="15">
      <c r="A309" s="21">
        <f>13.4*A308/1000</f>
        <v>0.0013477011494252874</v>
      </c>
      <c r="B309" s="20" t="s">
        <v>341</v>
      </c>
      <c r="C309" s="21">
        <f>13.4*C308/1000</f>
        <v>0.0005390804597701149</v>
      </c>
      <c r="D309" s="21">
        <f>20*D308/1000</f>
        <v>0.0020114942528735636</v>
      </c>
      <c r="E309" s="21"/>
      <c r="F309" s="21"/>
      <c r="G309" s="20" t="s">
        <v>341</v>
      </c>
      <c r="I309" s="15" t="s">
        <v>2</v>
      </c>
      <c r="J309" s="21">
        <f>N308</f>
        <v>1.1E-06</v>
      </c>
      <c r="K309" s="21"/>
      <c r="N309" s="21"/>
    </row>
    <row r="310" spans="1:14" ht="15">
      <c r="A310" s="21">
        <f>+A309*500/25</f>
        <v>0.02695402298850575</v>
      </c>
      <c r="B310" s="20" t="s">
        <v>340</v>
      </c>
      <c r="C310" s="21">
        <f>+C309*500/25</f>
        <v>0.0107816091954023</v>
      </c>
      <c r="D310" s="21">
        <f>+D309*500/25</f>
        <v>0.04022988505747128</v>
      </c>
      <c r="E310" s="21"/>
      <c r="F310" s="21"/>
      <c r="G310" s="20" t="s">
        <v>340</v>
      </c>
      <c r="I310" s="15" t="s">
        <v>4</v>
      </c>
      <c r="J310" s="21">
        <v>-1E-14</v>
      </c>
      <c r="K310" s="21"/>
      <c r="N310" s="21"/>
    </row>
    <row r="311" spans="1:14" ht="15">
      <c r="A311" s="21">
        <f>+A310/2</f>
        <v>0.013477011494252875</v>
      </c>
      <c r="B311" s="20" t="s">
        <v>342</v>
      </c>
      <c r="C311" s="21">
        <f>+C310/2</f>
        <v>0.00539080459770115</v>
      </c>
      <c r="D311" s="21">
        <f>+D310/2</f>
        <v>0.02011494252873564</v>
      </c>
      <c r="E311" s="21"/>
      <c r="F311" s="21"/>
      <c r="G311" s="20" t="s">
        <v>342</v>
      </c>
      <c r="I311" s="15" t="s">
        <v>7</v>
      </c>
      <c r="J311" s="45">
        <f>+(J309^2)-4*J308*J310</f>
        <v>1.2500000000000001E-12</v>
      </c>
      <c r="K311" s="45"/>
      <c r="N311" s="21"/>
    </row>
    <row r="312" spans="1:14" ht="15">
      <c r="A312" s="35">
        <f>+A311*70.9</f>
        <v>0.955520114942529</v>
      </c>
      <c r="B312" s="20" t="s">
        <v>343</v>
      </c>
      <c r="C312" s="35">
        <f>+C311*70.9</f>
        <v>0.3822080459770115</v>
      </c>
      <c r="D312" s="35">
        <f>+D311*70.9</f>
        <v>1.426149425287357</v>
      </c>
      <c r="E312" s="35"/>
      <c r="F312" s="35"/>
      <c r="G312" s="20" t="s">
        <v>343</v>
      </c>
      <c r="I312" s="15" t="s">
        <v>6</v>
      </c>
      <c r="J312" s="64">
        <f>+SQRT(J311)</f>
        <v>1.118033988749895E-06</v>
      </c>
      <c r="K312" s="64"/>
      <c r="N312" s="21"/>
    </row>
    <row r="313" spans="1:14" ht="15">
      <c r="A313" s="44">
        <f>+A312/2.5*100</f>
        <v>38.22080459770116</v>
      </c>
      <c r="B313" s="98" t="s">
        <v>344</v>
      </c>
      <c r="C313" s="42">
        <f>+C312/2.5*100</f>
        <v>15.28832183908046</v>
      </c>
      <c r="D313" s="44">
        <f>+D312/2.5*100</f>
        <v>57.04597701149427</v>
      </c>
      <c r="E313" s="44"/>
      <c r="F313" s="44"/>
      <c r="G313" s="98" t="s">
        <v>344</v>
      </c>
      <c r="I313" s="30" t="s">
        <v>8</v>
      </c>
      <c r="J313" s="66">
        <f>+(-J309+J312)/(2*J308)</f>
        <v>9.016994374947458E-09</v>
      </c>
      <c r="K313" s="66"/>
      <c r="L313" s="44"/>
      <c r="M313" s="44"/>
      <c r="N313" s="21"/>
    </row>
    <row r="314" spans="9:11" ht="15">
      <c r="I314" s="30" t="s">
        <v>9</v>
      </c>
      <c r="J314" s="21">
        <f>+(-J309-J312)/(2*J308)</f>
        <v>-1.1090169943749475E-06</v>
      </c>
      <c r="K314" s="21"/>
    </row>
    <row r="316" spans="1:6" ht="15">
      <c r="A316" s="324" t="s">
        <v>345</v>
      </c>
      <c r="B316" s="324"/>
      <c r="C316" s="324" t="s">
        <v>346</v>
      </c>
      <c r="D316" s="324"/>
      <c r="E316" s="178"/>
      <c r="F316" s="178"/>
    </row>
    <row r="317" spans="1:16" ht="15">
      <c r="A317" s="164">
        <v>2.5</v>
      </c>
      <c r="B317" s="164" t="s">
        <v>347</v>
      </c>
      <c r="C317" s="164">
        <f>+A320*5</f>
        <v>0.10500000000000001</v>
      </c>
      <c r="D317" s="164" t="s">
        <v>338</v>
      </c>
      <c r="E317" s="109"/>
      <c r="F317" s="109"/>
      <c r="I317" s="15" t="s">
        <v>0</v>
      </c>
      <c r="J317" s="46">
        <v>1</v>
      </c>
      <c r="K317" s="46"/>
      <c r="N317" s="21">
        <v>9.6E-07</v>
      </c>
      <c r="O317" s="21">
        <f>+N317+J322</f>
        <v>9.703060268852505E-07</v>
      </c>
      <c r="P317" s="21"/>
    </row>
    <row r="318" spans="1:14" ht="15">
      <c r="A318" s="165">
        <v>25</v>
      </c>
      <c r="B318" s="164" t="s">
        <v>348</v>
      </c>
      <c r="C318" s="167">
        <f>+A321*C317/A322</f>
        <v>0.10057471264367818</v>
      </c>
      <c r="D318" s="164" t="s">
        <v>339</v>
      </c>
      <c r="E318" s="109"/>
      <c r="F318" s="109"/>
      <c r="I318" s="15" t="s">
        <v>2</v>
      </c>
      <c r="J318" s="21">
        <f>N317</f>
        <v>9.6E-07</v>
      </c>
      <c r="K318" s="21"/>
      <c r="N318" s="21"/>
    </row>
    <row r="319" spans="1:16" ht="15">
      <c r="A319" s="164">
        <v>13.4</v>
      </c>
      <c r="B319" s="164" t="s">
        <v>349</v>
      </c>
      <c r="C319" s="168">
        <f>+C318*A319/1000</f>
        <v>0.0013477011494252874</v>
      </c>
      <c r="D319" s="164" t="s">
        <v>341</v>
      </c>
      <c r="E319" s="109"/>
      <c r="F319" s="109"/>
      <c r="I319" s="15" t="s">
        <v>4</v>
      </c>
      <c r="J319" s="21">
        <v>-1E-14</v>
      </c>
      <c r="K319" s="21"/>
      <c r="N319" s="21"/>
      <c r="O319" s="46">
        <f>+O308+O317</f>
        <v>2.079323021260198E-06</v>
      </c>
      <c r="P319" s="46"/>
    </row>
    <row r="320" spans="1:17" ht="15">
      <c r="A320" s="166">
        <v>0.021</v>
      </c>
      <c r="B320" s="164" t="s">
        <v>337</v>
      </c>
      <c r="C320" s="168">
        <f>+C319*500/A318</f>
        <v>0.02695402298850575</v>
      </c>
      <c r="D320" s="164" t="s">
        <v>340</v>
      </c>
      <c r="E320" s="109"/>
      <c r="F320" s="109"/>
      <c r="I320" s="15" t="s">
        <v>7</v>
      </c>
      <c r="J320" s="45">
        <f>+(J318^2)-4*J317*J319</f>
        <v>9.615999999999999E-13</v>
      </c>
      <c r="K320" s="45"/>
      <c r="N320" s="21"/>
      <c r="O320" s="46">
        <f>+O319/2</f>
        <v>1.039661510630099E-06</v>
      </c>
      <c r="P320" s="46"/>
      <c r="Q320" s="44">
        <f>+-LOG10(O320)</f>
        <v>5.983108033771864</v>
      </c>
    </row>
    <row r="321" spans="1:14" ht="15">
      <c r="A321" s="165">
        <v>25</v>
      </c>
      <c r="B321" s="164" t="s">
        <v>350</v>
      </c>
      <c r="C321" s="168">
        <f>+C320/2</f>
        <v>0.013477011494252875</v>
      </c>
      <c r="D321" s="164" t="s">
        <v>352</v>
      </c>
      <c r="E321" s="109"/>
      <c r="F321" s="109"/>
      <c r="I321" s="15" t="s">
        <v>6</v>
      </c>
      <c r="J321" s="64">
        <f>+SQRT(J320)</f>
        <v>9.80612053770501E-07</v>
      </c>
      <c r="K321" s="64"/>
      <c r="N321" s="21"/>
    </row>
    <row r="322" spans="1:14" ht="15">
      <c r="A322" s="164">
        <v>26.1</v>
      </c>
      <c r="B322" s="164" t="s">
        <v>349</v>
      </c>
      <c r="C322" s="167">
        <f>+C321*70.9</f>
        <v>0.955520114942529</v>
      </c>
      <c r="D322" s="164" t="s">
        <v>343</v>
      </c>
      <c r="E322" s="109"/>
      <c r="F322" s="109"/>
      <c r="I322" s="30" t="s">
        <v>8</v>
      </c>
      <c r="J322" s="66">
        <f>+(-J318+J321)/(2*J317)</f>
        <v>1.030602688525052E-08</v>
      </c>
      <c r="K322" s="66"/>
      <c r="L322" s="44"/>
      <c r="M322" s="44"/>
      <c r="N322" s="21"/>
    </row>
    <row r="323" spans="1:11" ht="15">
      <c r="A323" s="164">
        <v>70.9</v>
      </c>
      <c r="B323" s="164" t="s">
        <v>351</v>
      </c>
      <c r="C323" s="169">
        <f>+C322/A317*100</f>
        <v>38.22080459770116</v>
      </c>
      <c r="D323" s="170" t="s">
        <v>344</v>
      </c>
      <c r="E323" s="179"/>
      <c r="F323" s="179"/>
      <c r="I323" s="30" t="s">
        <v>9</v>
      </c>
      <c r="J323" s="21">
        <f>+(-J318-J321)/(2*J317)</f>
        <v>-9.703060268852505E-07</v>
      </c>
      <c r="K323" s="21"/>
    </row>
    <row r="325" spans="1:6" ht="15">
      <c r="A325" s="324" t="s">
        <v>345</v>
      </c>
      <c r="B325" s="324"/>
      <c r="C325" s="324" t="s">
        <v>346</v>
      </c>
      <c r="D325" s="324"/>
      <c r="E325" s="178"/>
      <c r="F325" s="178"/>
    </row>
    <row r="326" spans="1:16" ht="15">
      <c r="A326" s="164">
        <v>2.5</v>
      </c>
      <c r="B326" s="164" t="s">
        <v>347</v>
      </c>
      <c r="C326" s="164">
        <f>+A329*5</f>
        <v>0.10500000000000001</v>
      </c>
      <c r="D326" s="164" t="s">
        <v>338</v>
      </c>
      <c r="E326" s="109"/>
      <c r="F326" s="109"/>
      <c r="I326" s="15" t="s">
        <v>0</v>
      </c>
      <c r="J326" s="46">
        <v>1</v>
      </c>
      <c r="K326" s="46"/>
      <c r="N326" s="21">
        <f>15*0.001/105</f>
        <v>0.00014285714285714284</v>
      </c>
      <c r="O326" s="21">
        <f>+N326*N327</f>
        <v>9.795918367346938E-08</v>
      </c>
      <c r="P326" s="21"/>
    </row>
    <row r="327" spans="1:16" ht="15">
      <c r="A327" s="165">
        <v>25</v>
      </c>
      <c r="B327" s="164" t="s">
        <v>348</v>
      </c>
      <c r="C327" s="167">
        <f>+A330*C326/A331</f>
        <v>0.10057471264367818</v>
      </c>
      <c r="D327" s="164" t="s">
        <v>339</v>
      </c>
      <c r="E327" s="109"/>
      <c r="F327" s="109"/>
      <c r="I327" s="15" t="s">
        <v>2</v>
      </c>
      <c r="J327" s="21">
        <f>N328</f>
        <v>0.000542857142857143</v>
      </c>
      <c r="K327" s="21"/>
      <c r="N327" s="21">
        <f>90*0.0008/105</f>
        <v>0.0006857142857142858</v>
      </c>
      <c r="O327" s="21">
        <f>+N326+N327</f>
        <v>0.0008285714285714286</v>
      </c>
      <c r="P327" s="21"/>
    </row>
    <row r="328" spans="1:18" ht="15">
      <c r="A328" s="165">
        <v>20</v>
      </c>
      <c r="B328" s="164" t="s">
        <v>349</v>
      </c>
      <c r="C328" s="168">
        <f>+C327*A328/1000</f>
        <v>0.0020114942528735636</v>
      </c>
      <c r="D328" s="164" t="s">
        <v>341</v>
      </c>
      <c r="E328" s="109"/>
      <c r="F328" s="109"/>
      <c r="I328" s="15" t="s">
        <v>4</v>
      </c>
      <c r="J328" s="21">
        <f>+-0.000000018</f>
        <v>-1.8E-08</v>
      </c>
      <c r="K328" s="21"/>
      <c r="N328" s="21">
        <f>+N327-N326</f>
        <v>0.000542857142857143</v>
      </c>
      <c r="O328" s="21">
        <f>+O326-0.000000018</f>
        <v>7.995918367346938E-08</v>
      </c>
      <c r="P328" s="21"/>
      <c r="Q328" s="21">
        <f>+O328/0.105</f>
        <v>7.615160349854227E-07</v>
      </c>
      <c r="R328" s="21">
        <f>+Q328*303.3</f>
        <v>0.00023096781341107873</v>
      </c>
    </row>
    <row r="329" spans="1:11" ht="15">
      <c r="A329" s="166">
        <v>0.021</v>
      </c>
      <c r="B329" s="164" t="s">
        <v>337</v>
      </c>
      <c r="C329" s="168">
        <f>+C328*500/A327</f>
        <v>0.04022988505747128</v>
      </c>
      <c r="D329" s="164" t="s">
        <v>340</v>
      </c>
      <c r="E329" s="109"/>
      <c r="F329" s="109"/>
      <c r="I329" s="15" t="s">
        <v>7</v>
      </c>
      <c r="J329" s="45">
        <f>+(J327^2)-4*J326*J328</f>
        <v>3.6669387755102055E-07</v>
      </c>
      <c r="K329" s="45"/>
    </row>
    <row r="330" spans="1:14" ht="15">
      <c r="A330" s="165">
        <v>25</v>
      </c>
      <c r="B330" s="164" t="s">
        <v>350</v>
      </c>
      <c r="C330" s="168">
        <f>+C329/2</f>
        <v>0.02011494252873564</v>
      </c>
      <c r="D330" s="164" t="s">
        <v>352</v>
      </c>
      <c r="E330" s="109"/>
      <c r="F330" s="109"/>
      <c r="I330" s="15" t="s">
        <v>6</v>
      </c>
      <c r="J330" s="64">
        <f>+SQRT(J329)</f>
        <v>0.0006055525390509238</v>
      </c>
      <c r="K330" s="64"/>
      <c r="N330" s="21">
        <f>+N328+J331</f>
        <v>0.0005742048409540334</v>
      </c>
    </row>
    <row r="331" spans="1:14" ht="15">
      <c r="A331" s="164">
        <v>26.1</v>
      </c>
      <c r="B331" s="164" t="s">
        <v>349</v>
      </c>
      <c r="C331" s="167">
        <f>+C330*70.9</f>
        <v>1.426149425287357</v>
      </c>
      <c r="D331" s="164" t="s">
        <v>343</v>
      </c>
      <c r="E331" s="109"/>
      <c r="F331" s="109"/>
      <c r="I331" s="30" t="s">
        <v>8</v>
      </c>
      <c r="J331" s="50">
        <f>+(-J327+J330)/(2*J326)</f>
        <v>3.134769809689039E-05</v>
      </c>
      <c r="K331" s="50"/>
      <c r="N331" s="21">
        <f>+J331*0.105</f>
        <v>3.2915083001734908E-06</v>
      </c>
    </row>
    <row r="332" spans="1:16" ht="15">
      <c r="A332" s="164">
        <v>70.9</v>
      </c>
      <c r="B332" s="164" t="s">
        <v>351</v>
      </c>
      <c r="C332" s="169">
        <f>+C331/A326*100</f>
        <v>57.04597701149427</v>
      </c>
      <c r="D332" s="170" t="s">
        <v>344</v>
      </c>
      <c r="E332" s="179"/>
      <c r="F332" s="179"/>
      <c r="I332" s="30" t="s">
        <v>9</v>
      </c>
      <c r="J332" s="21">
        <f>+(-J327-J330)/(2*J326)</f>
        <v>-0.0005742048409540334</v>
      </c>
      <c r="K332" s="21"/>
      <c r="N332" s="21">
        <f>15*0.001/1000</f>
        <v>1.4999999999999999E-05</v>
      </c>
      <c r="O332" s="67"/>
      <c r="P332" s="67"/>
    </row>
    <row r="333" spans="14:17" ht="15">
      <c r="N333" s="21">
        <f>+N332-N331</f>
        <v>1.1708491699826509E-05</v>
      </c>
      <c r="O333" s="20">
        <v>303.3</v>
      </c>
      <c r="Q333" s="20">
        <f>+N333*O333</f>
        <v>0.0035511855325573802</v>
      </c>
    </row>
    <row r="334" spans="1:11" ht="15">
      <c r="A334" s="324" t="s">
        <v>345</v>
      </c>
      <c r="B334" s="324"/>
      <c r="C334" s="324" t="s">
        <v>346</v>
      </c>
      <c r="D334" s="324"/>
      <c r="E334" s="178"/>
      <c r="F334" s="178"/>
      <c r="I334" s="15" t="s">
        <v>0</v>
      </c>
      <c r="J334" s="46">
        <v>1</v>
      </c>
      <c r="K334" s="46"/>
    </row>
    <row r="335" spans="1:11" ht="15">
      <c r="A335" s="164">
        <v>0.4987</v>
      </c>
      <c r="B335" s="164" t="s">
        <v>353</v>
      </c>
      <c r="C335" s="164">
        <f>A337*A336/1000</f>
        <v>0.0025272</v>
      </c>
      <c r="D335" s="164" t="s">
        <v>365</v>
      </c>
      <c r="E335" s="109"/>
      <c r="F335" s="109"/>
      <c r="I335" s="15" t="s">
        <v>2</v>
      </c>
      <c r="J335" s="21">
        <f>+-O327</f>
        <v>-0.0008285714285714286</v>
      </c>
      <c r="K335" s="21"/>
    </row>
    <row r="336" spans="1:11" ht="15">
      <c r="A336" s="167">
        <v>0.108</v>
      </c>
      <c r="B336" s="164" t="s">
        <v>338</v>
      </c>
      <c r="C336" s="164">
        <f>+C335/2</f>
        <v>0.0012636</v>
      </c>
      <c r="D336" s="164" t="s">
        <v>356</v>
      </c>
      <c r="E336" s="109"/>
      <c r="F336" s="109"/>
      <c r="I336" s="15" t="s">
        <v>4</v>
      </c>
      <c r="J336" s="21">
        <f>O328</f>
        <v>7.995918367346938E-08</v>
      </c>
      <c r="K336" s="21"/>
    </row>
    <row r="337" spans="1:11" ht="15">
      <c r="A337" s="165">
        <v>23.4</v>
      </c>
      <c r="B337" s="164" t="s">
        <v>350</v>
      </c>
      <c r="C337" s="172">
        <f>+C336*A340</f>
        <v>0.16186715999999998</v>
      </c>
      <c r="D337" s="173" t="s">
        <v>358</v>
      </c>
      <c r="E337" s="180"/>
      <c r="F337" s="180"/>
      <c r="I337" s="15" t="s">
        <v>7</v>
      </c>
      <c r="J337" s="45">
        <f>+(J335^2)-4*J334*J336</f>
        <v>3.6669387755102055E-07</v>
      </c>
      <c r="K337" s="45"/>
    </row>
    <row r="338" spans="1:11" ht="15">
      <c r="A338" s="166">
        <v>0.098</v>
      </c>
      <c r="B338" s="174" t="s">
        <v>354</v>
      </c>
      <c r="C338" s="164">
        <f>43.6*A338/1000</f>
        <v>0.0042728</v>
      </c>
      <c r="D338" s="164" t="s">
        <v>366</v>
      </c>
      <c r="E338" s="109"/>
      <c r="F338" s="109"/>
      <c r="I338" s="15" t="s">
        <v>6</v>
      </c>
      <c r="J338" s="64">
        <f>+SQRT(J337)</f>
        <v>0.0006055525390509238</v>
      </c>
      <c r="K338" s="64"/>
    </row>
    <row r="339" spans="1:11" ht="15">
      <c r="A339" s="165">
        <v>43.6</v>
      </c>
      <c r="B339" s="174" t="s">
        <v>355</v>
      </c>
      <c r="C339" s="164">
        <f>+C338-C335</f>
        <v>0.0017456000000000004</v>
      </c>
      <c r="D339" s="164" t="s">
        <v>359</v>
      </c>
      <c r="E339" s="109"/>
      <c r="F339" s="109"/>
      <c r="I339" s="30" t="s">
        <v>8</v>
      </c>
      <c r="J339" s="50">
        <f>+(-J335+J338)/(2*J334)</f>
        <v>0.0007170619838111761</v>
      </c>
      <c r="K339" s="50"/>
    </row>
    <row r="340" spans="1:11" ht="15">
      <c r="A340" s="171">
        <v>128.1</v>
      </c>
      <c r="B340" s="174" t="s">
        <v>357</v>
      </c>
      <c r="C340" s="172">
        <f>+C339*A341</f>
        <v>0.21011787200000004</v>
      </c>
      <c r="D340" s="173" t="s">
        <v>361</v>
      </c>
      <c r="E340" s="180"/>
      <c r="F340" s="180"/>
      <c r="I340" s="30" t="s">
        <v>9</v>
      </c>
      <c r="J340" s="21">
        <f>+(-J335-J338)/(2*J334)</f>
        <v>0.00011150944476025242</v>
      </c>
      <c r="K340" s="21"/>
    </row>
    <row r="341" spans="1:6" ht="15">
      <c r="A341" s="164">
        <v>120.37</v>
      </c>
      <c r="B341" s="174" t="s">
        <v>360</v>
      </c>
      <c r="C341" s="175">
        <f>+C337/A335*100</f>
        <v>32.457822338079</v>
      </c>
      <c r="D341" s="173" t="s">
        <v>362</v>
      </c>
      <c r="E341" s="180"/>
      <c r="F341" s="180"/>
    </row>
    <row r="342" spans="3:11" ht="15">
      <c r="C342" s="175">
        <f>+C340/A335*100</f>
        <v>42.13312051333468</v>
      </c>
      <c r="D342" s="173" t="s">
        <v>363</v>
      </c>
      <c r="E342" s="180"/>
      <c r="F342" s="180"/>
      <c r="I342" s="15" t="s">
        <v>0</v>
      </c>
      <c r="J342" s="46">
        <v>1</v>
      </c>
      <c r="K342" s="46"/>
    </row>
    <row r="343" spans="3:11" ht="15">
      <c r="C343" s="175">
        <f>100-C341-C342</f>
        <v>25.40905714858632</v>
      </c>
      <c r="D343" s="173" t="s">
        <v>364</v>
      </c>
      <c r="E343" s="180"/>
      <c r="F343" s="180"/>
      <c r="I343" s="15" t="s">
        <v>2</v>
      </c>
      <c r="J343" s="21">
        <v>0.1</v>
      </c>
      <c r="K343" s="21"/>
    </row>
    <row r="344" spans="9:11" ht="15">
      <c r="I344" s="15" t="s">
        <v>4</v>
      </c>
      <c r="J344" s="21">
        <v>-1.7E-16</v>
      </c>
      <c r="K344" s="21"/>
    </row>
    <row r="345" spans="9:11" ht="15">
      <c r="I345" s="15" t="s">
        <v>7</v>
      </c>
      <c r="J345" s="45">
        <f>+(J343^2)-4*J342*J344</f>
        <v>0.010000000000000682</v>
      </c>
      <c r="K345" s="45"/>
    </row>
    <row r="346" spans="1:11" ht="15">
      <c r="A346" s="20">
        <f>10/46.03</f>
        <v>0.21724961981316532</v>
      </c>
      <c r="C346" s="35">
        <f>7.05/47.01</f>
        <v>0.1499680918953414</v>
      </c>
      <c r="I346" s="15" t="s">
        <v>6</v>
      </c>
      <c r="J346" s="64">
        <f>+SQRT(J345)</f>
        <v>0.1000000000000034</v>
      </c>
      <c r="K346" s="64"/>
    </row>
    <row r="347" spans="1:11" ht="15">
      <c r="A347" s="20">
        <f>100/239.19</f>
        <v>0.4180776788327271</v>
      </c>
      <c r="C347" s="20">
        <f>0.05*1.5</f>
        <v>0.07500000000000001</v>
      </c>
      <c r="I347" s="30" t="s">
        <v>8</v>
      </c>
      <c r="J347" s="50">
        <f>+(-J343+J346)/(2*J342)</f>
        <v>1.700029006457271E-15</v>
      </c>
      <c r="K347" s="50"/>
    </row>
    <row r="348" spans="1:11" ht="15">
      <c r="A348" s="20">
        <f>+A346/3</f>
        <v>0.07241653993772178</v>
      </c>
      <c r="C348" s="21">
        <v>0.00071</v>
      </c>
      <c r="D348" s="21">
        <f>0.00000000000001/C348</f>
        <v>1.408450704225352E-11</v>
      </c>
      <c r="E348" s="21"/>
      <c r="F348" s="21"/>
      <c r="G348" s="46">
        <v>1</v>
      </c>
      <c r="I348" s="30" t="s">
        <v>9</v>
      </c>
      <c r="J348" s="21">
        <f>+(-J343-J346)/(2*J342)</f>
        <v>-0.1000000000000017</v>
      </c>
      <c r="K348" s="21"/>
    </row>
    <row r="349" spans="1:7" ht="15">
      <c r="A349" s="20">
        <f>+A348*22.414</f>
        <v>1.623144326164096</v>
      </c>
      <c r="C349" s="42">
        <f>-LOG10(C348)</f>
        <v>3.1487416512809245</v>
      </c>
      <c r="D349" s="20">
        <f>+D348*0.15</f>
        <v>2.112676056338028E-12</v>
      </c>
      <c r="G349" s="21">
        <f>D350</f>
        <v>0.07500000001408452</v>
      </c>
    </row>
    <row r="350" spans="3:11" ht="15">
      <c r="C350" s="20">
        <f>6/40</f>
        <v>0.15</v>
      </c>
      <c r="D350" s="21">
        <f>+D348+C347</f>
        <v>0.07500000001408452</v>
      </c>
      <c r="E350" s="21"/>
      <c r="F350" s="21"/>
      <c r="G350" s="21">
        <f>-D349</f>
        <v>-2.112676056338028E-12</v>
      </c>
      <c r="I350" s="15" t="s">
        <v>0</v>
      </c>
      <c r="J350" s="46">
        <f>2-0.323</f>
        <v>1.677</v>
      </c>
      <c r="K350" s="46"/>
    </row>
    <row r="351" spans="3:11" ht="15">
      <c r="C351" s="20">
        <f>+C350+C347</f>
        <v>0.225</v>
      </c>
      <c r="G351" s="45">
        <f>+(G349^2)-4*G348*G350</f>
        <v>0.005625000010563383</v>
      </c>
      <c r="I351" s="15" t="s">
        <v>2</v>
      </c>
      <c r="J351" s="21">
        <v>-9</v>
      </c>
      <c r="K351" s="21"/>
    </row>
    <row r="352" spans="3:11" ht="15">
      <c r="C352" s="35">
        <f>+C351-C346</f>
        <v>0.0750319081046586</v>
      </c>
      <c r="G352" s="64">
        <f>+SQRT(G351)</f>
        <v>0.07500000007042255</v>
      </c>
      <c r="I352" s="15" t="s">
        <v>4</v>
      </c>
      <c r="J352" s="21">
        <v>9</v>
      </c>
      <c r="K352" s="21"/>
    </row>
    <row r="353" spans="3:11" ht="15">
      <c r="C353" s="20">
        <f>+C352/1.5</f>
        <v>0.050021272069772395</v>
      </c>
      <c r="D353" s="21">
        <f>+C347+G353</f>
        <v>0.07500000002816903</v>
      </c>
      <c r="E353" s="21"/>
      <c r="F353" s="21"/>
      <c r="G353" s="50">
        <f>+(-G349+G352)/(2*G348)</f>
        <v>2.8169015731105418E-11</v>
      </c>
      <c r="I353" s="15" t="s">
        <v>7</v>
      </c>
      <c r="J353" s="45">
        <f>+(J351^2)-4*J350*J352</f>
        <v>20.628</v>
      </c>
      <c r="K353" s="45"/>
    </row>
    <row r="354" spans="3:11" ht="15">
      <c r="C354" s="42">
        <f>-LOG10(C353)</f>
        <v>1.3008452681061542</v>
      </c>
      <c r="D354" s="62">
        <f>+D353/1.5</f>
        <v>0.050000000018779356</v>
      </c>
      <c r="E354" s="62"/>
      <c r="F354" s="62"/>
      <c r="G354" s="21">
        <f>+(-G349-G352)/(2*G348)</f>
        <v>-0.07500000004225355</v>
      </c>
      <c r="I354" s="15" t="s">
        <v>6</v>
      </c>
      <c r="J354" s="64">
        <f>+SQRT(J353)</f>
        <v>4.541805808266135</v>
      </c>
      <c r="K354" s="64"/>
    </row>
    <row r="355" spans="3:11" ht="15">
      <c r="C355" s="42">
        <f>14-C354</f>
        <v>12.699154731893845</v>
      </c>
      <c r="D355" s="42">
        <f>-LOG10(D354)</f>
        <v>1.3010299955008657</v>
      </c>
      <c r="E355" s="42"/>
      <c r="F355" s="42"/>
      <c r="I355" s="30" t="s">
        <v>8</v>
      </c>
      <c r="J355" s="50">
        <f>+(-J351+J354)/(2*J350)</f>
        <v>4.037509185529557</v>
      </c>
      <c r="K355" s="50"/>
    </row>
    <row r="356" spans="4:11" ht="15">
      <c r="D356" s="42">
        <f>14-D355</f>
        <v>12.698970004499134</v>
      </c>
      <c r="E356" s="42"/>
      <c r="F356" s="42"/>
      <c r="I356" s="30" t="s">
        <v>9</v>
      </c>
      <c r="J356" s="21">
        <f>+(-J351-J354)/(2*J350)</f>
        <v>1.3292171114292979</v>
      </c>
      <c r="K356" s="21"/>
    </row>
    <row r="357" ht="15">
      <c r="O357" s="20">
        <f>3*0.082*1273</f>
        <v>313.158</v>
      </c>
    </row>
    <row r="358" spans="1:23" ht="15">
      <c r="A358" s="20" t="s">
        <v>367</v>
      </c>
      <c r="B358" s="42">
        <f>0.1*1.2</f>
        <v>0.12</v>
      </c>
      <c r="C358" s="32">
        <f>+B358/(40.01/2)</f>
        <v>0.005998500374906274</v>
      </c>
      <c r="D358" s="20" t="s">
        <v>261</v>
      </c>
      <c r="E358" s="42">
        <f>+B358*G368</f>
        <v>0.12949586106526137</v>
      </c>
      <c r="G358" s="46">
        <v>1</v>
      </c>
      <c r="I358" s="15" t="s">
        <v>0</v>
      </c>
      <c r="J358" s="21">
        <f>(0.323*4)+1</f>
        <v>2.292</v>
      </c>
      <c r="K358" s="21"/>
      <c r="N358" s="7" t="s">
        <v>33</v>
      </c>
      <c r="O358" s="7" t="s">
        <v>39</v>
      </c>
      <c r="P358" s="7"/>
      <c r="Q358" s="7"/>
      <c r="R358" s="7" t="s">
        <v>32</v>
      </c>
      <c r="S358" s="7" t="s">
        <v>11</v>
      </c>
      <c r="T358" s="7" t="s">
        <v>56</v>
      </c>
      <c r="U358" s="7" t="s">
        <v>29</v>
      </c>
      <c r="V358" s="7" t="s">
        <v>33</v>
      </c>
      <c r="W358" s="7" t="s">
        <v>41</v>
      </c>
    </row>
    <row r="359" spans="1:23" ht="15">
      <c r="A359" s="20" t="s">
        <v>368</v>
      </c>
      <c r="B359" s="42">
        <f>20/110.99</f>
        <v>0.18019641409135959</v>
      </c>
      <c r="C359" s="20">
        <v>20</v>
      </c>
      <c r="D359" s="20" t="s">
        <v>261</v>
      </c>
      <c r="E359" s="42">
        <f>+B359*3</f>
        <v>0.5405892422740788</v>
      </c>
      <c r="G359" s="57">
        <v>0.00068</v>
      </c>
      <c r="I359" s="15" t="s">
        <v>2</v>
      </c>
      <c r="J359" s="21">
        <f>-0.323*24-6</f>
        <v>-13.752</v>
      </c>
      <c r="K359" s="21"/>
      <c r="N359" s="8">
        <v>0.323</v>
      </c>
      <c r="O359" s="11">
        <v>0.323</v>
      </c>
      <c r="P359" s="11"/>
      <c r="Q359" s="15" t="s">
        <v>20</v>
      </c>
      <c r="R359" s="16">
        <f>6-2*J364</f>
        <v>3.9631813335655632</v>
      </c>
      <c r="S359" s="11">
        <f>+R359/R361</f>
        <v>0.7955654325418654</v>
      </c>
      <c r="T359" s="8">
        <f>+R359/W359</f>
        <v>0.007621380573466414</v>
      </c>
      <c r="U359" s="42">
        <f>+N359*0.082*1273</f>
        <v>33.716678</v>
      </c>
      <c r="V359" s="20">
        <f>+S360/S359^2</f>
        <v>0.32299999999999984</v>
      </c>
      <c r="W359" s="20">
        <f>+U359*R359^2/R360</f>
        <v>520.0083233427877</v>
      </c>
    </row>
    <row r="360" spans="1:21" ht="15">
      <c r="A360" s="20" t="s">
        <v>369</v>
      </c>
      <c r="B360" s="35">
        <f>10/142.04</f>
        <v>0.07040270346381301</v>
      </c>
      <c r="C360" s="20">
        <v>10</v>
      </c>
      <c r="D360" s="20" t="s">
        <v>261</v>
      </c>
      <c r="E360" s="42">
        <f>+B360*3</f>
        <v>0.21120811039143905</v>
      </c>
      <c r="G360" s="57">
        <v>-6.8E-05</v>
      </c>
      <c r="I360" s="15" t="s">
        <v>4</v>
      </c>
      <c r="J360" s="21">
        <f>0.323*36</f>
        <v>11.628</v>
      </c>
      <c r="K360" s="21"/>
      <c r="N360" s="8">
        <f>+N359*9</f>
        <v>2.907</v>
      </c>
      <c r="O360" s="8"/>
      <c r="P360" s="8"/>
      <c r="Q360" s="15" t="s">
        <v>63</v>
      </c>
      <c r="R360" s="11">
        <f>J364</f>
        <v>1.0184093332172184</v>
      </c>
      <c r="S360" s="11">
        <f>+R360/R361</f>
        <v>0.20443456745813463</v>
      </c>
      <c r="T360" s="20">
        <f>+R360/W359</f>
        <v>0.0019584481391962</v>
      </c>
      <c r="U360" s="42"/>
    </row>
    <row r="361" spans="2:19" ht="15">
      <c r="B361" s="35">
        <f>+B359*2</f>
        <v>0.36039282818271917</v>
      </c>
      <c r="C361" s="32">
        <f>SUM(C358:C360)</f>
        <v>30.005998500374908</v>
      </c>
      <c r="D361" s="20" t="s">
        <v>370</v>
      </c>
      <c r="E361" s="42">
        <f>SUM(E358:E360)</f>
        <v>0.8812932137307792</v>
      </c>
      <c r="G361" s="45">
        <f>+(G359^2)-4*G358*G360</f>
        <v>0.0002724624</v>
      </c>
      <c r="I361" s="15" t="s">
        <v>7</v>
      </c>
      <c r="J361" s="21">
        <f>+(J359^2)-4*J358*J360</f>
        <v>82.51200000000003</v>
      </c>
      <c r="K361" s="21"/>
      <c r="N361" s="8">
        <f>+N359*12</f>
        <v>3.8760000000000003</v>
      </c>
      <c r="O361" s="8"/>
      <c r="P361" s="8"/>
      <c r="Q361" s="15"/>
      <c r="R361" s="11">
        <f>+R359+R360</f>
        <v>4.981590666782782</v>
      </c>
      <c r="S361" s="11">
        <f>+S359+S360</f>
        <v>1</v>
      </c>
    </row>
    <row r="362" spans="1:20" ht="15">
      <c r="A362" s="20">
        <f>40.01/2</f>
        <v>20.005</v>
      </c>
      <c r="B362" s="38">
        <f>0.18*3</f>
        <v>0.54</v>
      </c>
      <c r="C362" s="20">
        <f>+1.05*1200</f>
        <v>1260</v>
      </c>
      <c r="D362" s="20" t="s">
        <v>371</v>
      </c>
      <c r="E362" s="57">
        <f>+E361/C364</f>
        <v>0.7165020420069486</v>
      </c>
      <c r="G362" s="64">
        <f>+SQRT(G361)</f>
        <v>0.01650643510876894</v>
      </c>
      <c r="I362" s="15" t="s">
        <v>6</v>
      </c>
      <c r="J362" s="21">
        <f>+SQRT(J361)</f>
        <v>9.083611616532272</v>
      </c>
      <c r="K362" s="21"/>
      <c r="N362" s="8">
        <f>+N359*4</f>
        <v>1.292</v>
      </c>
      <c r="O362" s="8"/>
      <c r="P362" s="8"/>
      <c r="Q362" s="15"/>
      <c r="R362" s="21">
        <f>6-J364</f>
        <v>4.981590666782782</v>
      </c>
      <c r="T362" s="7" t="s">
        <v>29</v>
      </c>
    </row>
    <row r="363" spans="2:20" ht="15">
      <c r="B363" s="42">
        <f>+B360*2</f>
        <v>0.14080540692762603</v>
      </c>
      <c r="C363" s="60">
        <f>+C362-C361</f>
        <v>1229.994001499625</v>
      </c>
      <c r="D363" s="57" t="s">
        <v>372</v>
      </c>
      <c r="E363" s="57">
        <f>+E362*0.52</f>
        <v>0.3725810618436133</v>
      </c>
      <c r="F363" s="57"/>
      <c r="G363" s="52">
        <f>+(-G359+G362)/(2*G358)</f>
        <v>0.00791321755438447</v>
      </c>
      <c r="H363" s="20">
        <f>+SQRT(G359/0.1)</f>
        <v>0.08246211251235322</v>
      </c>
      <c r="I363" s="30" t="s">
        <v>8</v>
      </c>
      <c r="J363" s="50">
        <f>+(-J359+J362)/(2*J358)</f>
        <v>4.9815906667827825</v>
      </c>
      <c r="K363" s="50"/>
      <c r="N363" s="8">
        <f>+N361+1</f>
        <v>4.876</v>
      </c>
      <c r="O363" s="8"/>
      <c r="P363" s="8"/>
      <c r="T363" s="42">
        <f>+T360/T359^2</f>
        <v>33.716678</v>
      </c>
    </row>
    <row r="364" spans="2:16" ht="15">
      <c r="B364" s="37">
        <f>+B360*3</f>
        <v>0.21120811039143905</v>
      </c>
      <c r="C364" s="42">
        <f>+C363/1000</f>
        <v>1.2299940014996251</v>
      </c>
      <c r="D364" s="20" t="s">
        <v>374</v>
      </c>
      <c r="E364" s="58">
        <f>100+E363</f>
        <v>100.37258106184362</v>
      </c>
      <c r="G364" s="21">
        <f>+(-G359-G362)/(2*G358)</f>
        <v>-0.00859321755438447</v>
      </c>
      <c r="I364" s="30" t="s">
        <v>9</v>
      </c>
      <c r="J364" s="21">
        <f>+(-J359-J362)/(2*J358)</f>
        <v>1.0184093332172184</v>
      </c>
      <c r="K364" s="21"/>
      <c r="O364" s="8"/>
      <c r="P364" s="8"/>
    </row>
    <row r="365" spans="7:23" ht="15">
      <c r="G365" s="57">
        <f>0.1-G363</f>
        <v>0.09208678244561554</v>
      </c>
      <c r="O365" s="8"/>
      <c r="P365" s="8"/>
      <c r="Q365" s="7" t="s">
        <v>11</v>
      </c>
      <c r="R365" s="7" t="s">
        <v>39</v>
      </c>
      <c r="S365" s="7" t="s">
        <v>33</v>
      </c>
      <c r="T365" s="7" t="s">
        <v>29</v>
      </c>
      <c r="U365" s="7"/>
      <c r="V365" s="7"/>
      <c r="W365" s="7"/>
    </row>
    <row r="366" spans="5:20" ht="15">
      <c r="E366" s="20">
        <f>+(B359/1.2*3)*0.0821*283</f>
        <v>10.466843859807192</v>
      </c>
      <c r="G366" s="57">
        <f>0.1-G363</f>
        <v>0.09208678244561554</v>
      </c>
      <c r="L366" s="20">
        <f>16/32</f>
        <v>0.5</v>
      </c>
      <c r="N366" s="15" t="s">
        <v>64</v>
      </c>
      <c r="O366" s="35">
        <f>20.44/44.01</f>
        <v>0.4644399000227222</v>
      </c>
      <c r="P366" s="35"/>
      <c r="Q366" s="35">
        <f>+O366/O368</f>
        <v>0.14053265127787218</v>
      </c>
      <c r="R366" s="21">
        <f>+Q366/Q367^2</f>
        <v>0.19024728812135228</v>
      </c>
      <c r="S366" s="21">
        <f>+R366*23.3^-1</f>
        <v>0.008165119661860613</v>
      </c>
      <c r="T366" s="21">
        <f>+S366/(0.082*1273)^-1</f>
        <v>0.852324181022982</v>
      </c>
    </row>
    <row r="367" spans="1:17" ht="15">
      <c r="A367" s="20">
        <f>12/86.94</f>
        <v>0.13802622498274672</v>
      </c>
      <c r="B367" s="20">
        <f>+A367*2</f>
        <v>0.27605244996549344</v>
      </c>
      <c r="C367" s="20">
        <f>+B367*18.02</f>
        <v>4.974465148378192</v>
      </c>
      <c r="E367" s="20">
        <f>+(B360/1.2*3)*0.0821*283</f>
        <v>4.089393832723177</v>
      </c>
      <c r="G367" s="35">
        <f>+G363/0.1</f>
        <v>0.0791321755438447</v>
      </c>
      <c r="H367" s="20" t="s">
        <v>35</v>
      </c>
      <c r="L367" s="20">
        <f>16/46</f>
        <v>0.34782608695652173</v>
      </c>
      <c r="N367" s="15" t="s">
        <v>65</v>
      </c>
      <c r="O367" s="42">
        <f>79.56/28.01</f>
        <v>2.8404141378079255</v>
      </c>
      <c r="P367" s="42"/>
      <c r="Q367" s="35">
        <f>+O367/O368</f>
        <v>0.8594673487221278</v>
      </c>
    </row>
    <row r="368" spans="1:16" ht="15">
      <c r="A368" s="20">
        <f>15/41.99</f>
        <v>0.35722791140747795</v>
      </c>
      <c r="B368" s="35">
        <f>+A368/2</f>
        <v>0.17861395570373897</v>
      </c>
      <c r="E368" s="20">
        <f>+(B358/1.2*G368)*0.0821*283</f>
        <v>2.5072880706238356</v>
      </c>
      <c r="G368" s="35">
        <f>1+G367</f>
        <v>1.0791321755438448</v>
      </c>
      <c r="H368" s="20" t="s">
        <v>373</v>
      </c>
      <c r="L368" s="20">
        <f>+L367*100</f>
        <v>34.78260869565217</v>
      </c>
      <c r="O368" s="42">
        <f>+O366+O367</f>
        <v>3.3048540378306477</v>
      </c>
      <c r="P368" s="42"/>
    </row>
    <row r="369" spans="5:12" ht="15">
      <c r="E369" s="20">
        <f>SUM(E366:E368)</f>
        <v>17.063525763154203</v>
      </c>
      <c r="G369" s="20">
        <f>+(0.1-G363)*1.2</f>
        <v>0.11050413893473864</v>
      </c>
      <c r="L369" s="20">
        <v>36.8</v>
      </c>
    </row>
    <row r="370" spans="1:20" ht="15">
      <c r="A370" s="20">
        <f>+A367*151</f>
        <v>20.841959972394754</v>
      </c>
      <c r="G370" s="20">
        <f>+G363*1.2</f>
        <v>0.009495861065261365</v>
      </c>
      <c r="L370" s="20">
        <f>+L369-L368</f>
        <v>2.017391304347825</v>
      </c>
      <c r="O370" s="7" t="s">
        <v>11</v>
      </c>
      <c r="P370" s="7"/>
      <c r="Q370" s="7" t="s">
        <v>39</v>
      </c>
      <c r="R370" s="7" t="s">
        <v>33</v>
      </c>
      <c r="S370" s="7" t="s">
        <v>29</v>
      </c>
      <c r="T370" s="7"/>
    </row>
    <row r="371" spans="1:19" ht="15">
      <c r="A371" s="20">
        <f>+A367*142.04</f>
        <v>19.60524499654934</v>
      </c>
      <c r="D371" s="44">
        <f>+B362+B364+G371</f>
        <v>0.8807039714567004</v>
      </c>
      <c r="E371" s="44"/>
      <c r="F371" s="44"/>
      <c r="G371" s="37">
        <f>+G369+G370*2</f>
        <v>0.12949586106526137</v>
      </c>
      <c r="H371" s="20">
        <f>B358*G368</f>
        <v>0.12949586106526137</v>
      </c>
      <c r="I371" s="20">
        <f>+H371/1.2</f>
        <v>0.10791321755438447</v>
      </c>
      <c r="L371" s="20">
        <f>+L366-L367</f>
        <v>0.15217391304347827</v>
      </c>
      <c r="N371" s="15" t="s">
        <v>65</v>
      </c>
      <c r="O371" s="20">
        <f>1-0.06</f>
        <v>0.94</v>
      </c>
      <c r="Q371" s="58">
        <f>+O371^2/O372</f>
        <v>14.726666666666667</v>
      </c>
      <c r="R371" s="20">
        <f>+Q371*0.68</f>
        <v>10.014133333333334</v>
      </c>
      <c r="S371" s="20">
        <f>+R371/(0.082*1090.15)</f>
        <v>0.11202456289113641</v>
      </c>
    </row>
    <row r="372" spans="1:15" ht="15">
      <c r="A372" s="20">
        <f>+A367*37.997</f>
        <v>5.244582470669427</v>
      </c>
      <c r="D372" s="44">
        <f>+D371/1.2*0.0821*283</f>
        <v>17.052116903347013</v>
      </c>
      <c r="E372" s="176"/>
      <c r="F372" s="176"/>
      <c r="L372" s="20">
        <f>+L370/L371</f>
        <v>13.25714285714285</v>
      </c>
      <c r="N372" s="15" t="s">
        <v>64</v>
      </c>
      <c r="O372" s="20">
        <v>0.06</v>
      </c>
    </row>
    <row r="373" ht="15">
      <c r="L373" s="20">
        <f>100-L372</f>
        <v>86.74285714285715</v>
      </c>
    </row>
    <row r="374" spans="1:7" ht="15">
      <c r="A374" s="20">
        <f>10/46.03</f>
        <v>0.21724961981316532</v>
      </c>
      <c r="B374" s="20">
        <f>+A374/3</f>
        <v>0.07241653993772178</v>
      </c>
      <c r="D374" s="20">
        <f>+B359/1.2</f>
        <v>0.15016367840946632</v>
      </c>
      <c r="G374" s="20">
        <f>+D374*3</f>
        <v>0.45049103522839895</v>
      </c>
    </row>
    <row r="375" spans="1:7" ht="15">
      <c r="A375" s="20">
        <f>100/239.19</f>
        <v>0.4180776788327271</v>
      </c>
      <c r="D375" s="20">
        <f>+B360/1.2</f>
        <v>0.05866891955317751</v>
      </c>
      <c r="G375" s="20">
        <f>+D375*3</f>
        <v>0.17600675865953253</v>
      </c>
    </row>
    <row r="376" spans="4:14" ht="15">
      <c r="D376" s="20">
        <v>0.1</v>
      </c>
      <c r="G376" s="20">
        <f>+D376*G368</f>
        <v>0.10791321755438449</v>
      </c>
      <c r="I376" s="15" t="s">
        <v>0</v>
      </c>
      <c r="J376" s="21">
        <v>1</v>
      </c>
      <c r="K376" s="21"/>
      <c r="N376" s="20">
        <f>0.000000029*0.025</f>
        <v>7.250000000000001E-10</v>
      </c>
    </row>
    <row r="377" spans="7:14" ht="15">
      <c r="G377" s="20">
        <f>SUM(G374:G376)</f>
        <v>0.7344110114423159</v>
      </c>
      <c r="I377" s="15" t="s">
        <v>2</v>
      </c>
      <c r="J377" s="21">
        <f>N377</f>
        <v>0.350000029</v>
      </c>
      <c r="K377" s="21"/>
      <c r="N377" s="20">
        <f>0.35+0.000000029</f>
        <v>0.350000029</v>
      </c>
    </row>
    <row r="378" spans="1:11" ht="15">
      <c r="A378" s="35">
        <f>20/0.0821/323.15</f>
        <v>0.7538460755621383</v>
      </c>
      <c r="B378" s="20">
        <f>+A378/2</f>
        <v>0.37692303778106917</v>
      </c>
      <c r="I378" s="15" t="s">
        <v>4</v>
      </c>
      <c r="J378" s="21">
        <f>+-N376</f>
        <v>-7.250000000000001E-10</v>
      </c>
      <c r="K378" s="21"/>
    </row>
    <row r="379" spans="1:11" ht="15">
      <c r="A379" s="35">
        <f>10/63.985</f>
        <v>0.15628662967883097</v>
      </c>
      <c r="B379" s="20">
        <f>+A379/5</f>
        <v>0.031257325935766196</v>
      </c>
      <c r="I379" s="15" t="s">
        <v>7</v>
      </c>
      <c r="J379" s="21">
        <f>+(J377^2)-4*J376*J378</f>
        <v>0.12250002320000083</v>
      </c>
      <c r="K379" s="21"/>
    </row>
    <row r="380" spans="1:11" ht="15">
      <c r="A380" s="32">
        <f>+A379*2/5</f>
        <v>0.06251465187153239</v>
      </c>
      <c r="I380" s="15" t="s">
        <v>6</v>
      </c>
      <c r="J380" s="21">
        <f>+SQRT(J379)</f>
        <v>0.35000003314285677</v>
      </c>
      <c r="K380" s="21"/>
    </row>
    <row r="381" spans="1:14" ht="15">
      <c r="A381" s="20">
        <f>+A380*36.46064</f>
        <v>2.2793242166132686</v>
      </c>
      <c r="I381" s="30" t="s">
        <v>8</v>
      </c>
      <c r="J381" s="50">
        <f>+(-J377+J380)/(2*J376)</f>
        <v>2.0714283899270214E-09</v>
      </c>
      <c r="K381" s="50"/>
      <c r="L381" s="21">
        <f>+J381+0.35</f>
        <v>0.35000000207142834</v>
      </c>
      <c r="M381" s="21"/>
      <c r="N381" s="44">
        <f>+-LOG10(L381)</f>
        <v>0.45593195307941037</v>
      </c>
    </row>
    <row r="382" spans="9:11" ht="15">
      <c r="I382" s="30" t="s">
        <v>9</v>
      </c>
      <c r="J382" s="21">
        <f>+(-J377-J380)/(2*J376)</f>
        <v>-0.3500000310714284</v>
      </c>
      <c r="K382" s="21"/>
    </row>
    <row r="384" spans="1:14" ht="15">
      <c r="A384" s="31">
        <f>B384*15/0.0821/1473</f>
        <v>0.1364399383792553</v>
      </c>
      <c r="B384" s="20">
        <f>836*0.0013158</f>
        <v>1.1000088</v>
      </c>
      <c r="I384" s="15" t="s">
        <v>0</v>
      </c>
      <c r="J384" s="21">
        <v>1</v>
      </c>
      <c r="K384" s="21"/>
      <c r="N384" s="21">
        <v>0.00018</v>
      </c>
    </row>
    <row r="385" spans="1:14" ht="15">
      <c r="A385" s="35">
        <f>+A384*2</f>
        <v>0.2728798767585106</v>
      </c>
      <c r="I385" s="15" t="s">
        <v>2</v>
      </c>
      <c r="J385" s="21">
        <f>N384</f>
        <v>0.00018</v>
      </c>
      <c r="K385" s="21"/>
      <c r="N385" s="42">
        <v>0.2</v>
      </c>
    </row>
    <row r="386" spans="1:16" ht="15">
      <c r="A386" s="20">
        <f>+A385-A392*2</f>
        <v>0.06838089925339813</v>
      </c>
      <c r="I386" s="15" t="s">
        <v>4</v>
      </c>
      <c r="J386" s="21">
        <f>+-(N384*N385)</f>
        <v>-3.6E-05</v>
      </c>
      <c r="K386" s="21"/>
      <c r="N386" s="21">
        <f>+SQRT(N384*N385)</f>
        <v>0.006</v>
      </c>
      <c r="O386" s="54">
        <f>+-LOG10(N386)</f>
        <v>2.221848749616356</v>
      </c>
      <c r="P386" s="54"/>
    </row>
    <row r="387" spans="1:11" ht="15">
      <c r="A387" s="31">
        <f>+A386/A392</f>
        <v>0.6687651946982337</v>
      </c>
      <c r="C387" s="20" t="s">
        <v>39</v>
      </c>
      <c r="D387" s="20" t="s">
        <v>33</v>
      </c>
      <c r="I387" s="15" t="s">
        <v>7</v>
      </c>
      <c r="J387" s="21">
        <f>+(J385^2)-4*J384*J386</f>
        <v>0.0001440324</v>
      </c>
      <c r="K387" s="21"/>
    </row>
    <row r="388" spans="1:11" ht="15">
      <c r="A388" s="62">
        <f>A392-A387*A392</f>
        <v>0.03386858949915811</v>
      </c>
      <c r="B388" s="32">
        <f>+A388/$A$384</f>
        <v>0.24823075927383723</v>
      </c>
      <c r="C388" s="42">
        <f>+B389^2*B390/B388^2</f>
        <v>1.0215007561821206</v>
      </c>
      <c r="D388" s="177">
        <f>+C388*B384</f>
        <v>1.1236598210069868</v>
      </c>
      <c r="E388" s="177"/>
      <c r="F388" s="177"/>
      <c r="I388" s="15" t="s">
        <v>6</v>
      </c>
      <c r="J388" s="21">
        <f>+SQRT(J387)</f>
        <v>0.012001349924071042</v>
      </c>
      <c r="K388" s="21"/>
    </row>
    <row r="389" spans="1:13" ht="15">
      <c r="A389" s="62">
        <f>+A387*A392</f>
        <v>0.06838089925339813</v>
      </c>
      <c r="B389" s="32">
        <f>+A389/$A$384</f>
        <v>0.5011794938174419</v>
      </c>
      <c r="I389" s="30" t="s">
        <v>8</v>
      </c>
      <c r="J389" s="50">
        <f>+(-J385+J388)/(2*J384)</f>
        <v>0.005910674962035521</v>
      </c>
      <c r="K389" s="50"/>
      <c r="L389" s="44">
        <f>+-LOG10(J389)</f>
        <v>2.2283629225789903</v>
      </c>
      <c r="M389" s="44"/>
    </row>
    <row r="390" spans="1:11" ht="15">
      <c r="A390" s="62">
        <f>+A387*A392/2</f>
        <v>0.034190449626699065</v>
      </c>
      <c r="B390" s="32">
        <f>+A390/$A$384</f>
        <v>0.25058974690872093</v>
      </c>
      <c r="I390" s="30" t="s">
        <v>9</v>
      </c>
      <c r="J390" s="21">
        <f>+(-J385-J388)/(2*J384)</f>
        <v>-0.006090674962035521</v>
      </c>
      <c r="K390" s="21"/>
    </row>
    <row r="391" ht="15">
      <c r="B391" s="42">
        <f>SUM(B388:B390)</f>
        <v>1</v>
      </c>
    </row>
    <row r="392" ht="15">
      <c r="A392" s="31">
        <f>4.5/44.01</f>
        <v>0.10224948875255624</v>
      </c>
    </row>
    <row r="393" spans="12:18" ht="15">
      <c r="L393" s="32">
        <f>0.26/18.02</f>
        <v>0.014428412874583796</v>
      </c>
      <c r="M393" s="32"/>
      <c r="N393" s="31">
        <f>+L396-L394</f>
        <v>0.008171038591782058</v>
      </c>
      <c r="R393" s="42"/>
    </row>
    <row r="394" spans="12:18" ht="15">
      <c r="L394" s="31">
        <f>0.5/145.15</f>
        <v>0.003444712366517396</v>
      </c>
      <c r="M394" s="31"/>
      <c r="N394" s="32">
        <f>+L395-L393</f>
        <v>0.029711440766954124</v>
      </c>
      <c r="O394" s="42"/>
      <c r="P394" s="42"/>
      <c r="R394" s="42"/>
    </row>
    <row r="395" spans="1:17" ht="15">
      <c r="A395" s="15" t="s">
        <v>0</v>
      </c>
      <c r="B395" s="46">
        <v>1</v>
      </c>
      <c r="D395" s="21">
        <v>0.00018</v>
      </c>
      <c r="L395" s="32">
        <f>7.6/172.18</f>
        <v>0.04413985364153792</v>
      </c>
      <c r="M395" s="32"/>
      <c r="N395" s="42">
        <f>+N394/N393</f>
        <v>3.6361890148011438</v>
      </c>
      <c r="O395" s="58">
        <f>+N395/3.8*100</f>
        <v>95.6891846000301</v>
      </c>
      <c r="P395" s="58"/>
      <c r="Q395" s="42">
        <f>+N395/145.15*0.5*18.02</f>
        <v>0.22571176729836928</v>
      </c>
    </row>
    <row r="396" spans="1:17" ht="15">
      <c r="A396" s="15" t="s">
        <v>2</v>
      </c>
      <c r="B396" s="21">
        <f>D396</f>
        <v>5.5555555555555553E-11</v>
      </c>
      <c r="D396" s="21">
        <f>0.00000000000001/D395</f>
        <v>5.5555555555555553E-11</v>
      </c>
      <c r="L396" s="32">
        <f>2/(172.18)</f>
        <v>0.011615750958299453</v>
      </c>
      <c r="M396" s="32"/>
      <c r="N396" s="42">
        <f>3.8-N395</f>
        <v>0.16381098519885606</v>
      </c>
      <c r="O396" s="58">
        <f>+N396/3.8*100</f>
        <v>4.310815399969896</v>
      </c>
      <c r="P396" s="58"/>
      <c r="Q396" s="42">
        <f>+N396/172.18*2*18.02</f>
        <v>0.03428823270163069</v>
      </c>
    </row>
    <row r="397" spans="1:17" ht="15">
      <c r="A397" s="15" t="s">
        <v>4</v>
      </c>
      <c r="B397" s="21">
        <f>-D397</f>
        <v>-4.4444444444444444E-11</v>
      </c>
      <c r="D397" s="20">
        <f>+D396*0.8</f>
        <v>4.4444444444444444E-11</v>
      </c>
      <c r="O397" s="35">
        <f>+O395+O396</f>
        <v>100</v>
      </c>
      <c r="P397" s="35"/>
      <c r="Q397" s="42">
        <f>+Q395+Q396</f>
        <v>0.25999999999999995</v>
      </c>
    </row>
    <row r="398" spans="1:16" ht="15">
      <c r="A398" s="15" t="s">
        <v>7</v>
      </c>
      <c r="B398" s="45">
        <f>+(B396^2)-4*B395*B397</f>
        <v>1.777777777808642E-10</v>
      </c>
      <c r="N398" s="35"/>
      <c r="O398" s="58"/>
      <c r="P398" s="58"/>
    </row>
    <row r="399" spans="1:22" ht="15">
      <c r="A399" s="15" t="s">
        <v>6</v>
      </c>
      <c r="B399" s="64">
        <f>+SQRT(B398)</f>
        <v>1.3333333333449074E-05</v>
      </c>
      <c r="I399" s="15" t="s">
        <v>0</v>
      </c>
      <c r="J399" s="21">
        <v>31.1</v>
      </c>
      <c r="K399" s="21"/>
      <c r="N399" s="21">
        <f>1-J405</f>
        <v>0.15002206397704565</v>
      </c>
      <c r="O399" s="42">
        <f>+(1+J405)*J405</f>
        <v>1.5724404277487958</v>
      </c>
      <c r="P399" s="42"/>
      <c r="Q399" s="21">
        <f>+N400*O402</f>
        <v>10.353878999052162</v>
      </c>
      <c r="R399" s="42">
        <f>+Q399-O399</f>
        <v>8.781438571303365</v>
      </c>
      <c r="S399" s="68" t="s">
        <v>58</v>
      </c>
      <c r="T399" s="32">
        <f>+N399-R401</f>
        <v>0.026105412019452157</v>
      </c>
      <c r="U399" s="32">
        <f>+T399/$T$403</f>
        <v>0.005221082403890432</v>
      </c>
      <c r="V399" s="20">
        <f>+T402*T401/T399/T400</f>
        <v>32.09999999999995</v>
      </c>
    </row>
    <row r="400" spans="1:21" ht="15">
      <c r="A400" s="30" t="s">
        <v>8</v>
      </c>
      <c r="B400" s="50">
        <f>+(-B396+B399)/(2*B395)</f>
        <v>6.666638888946759E-06</v>
      </c>
      <c r="C400" s="20">
        <f>-LOG10(B400)</f>
        <v>5.176093068616023</v>
      </c>
      <c r="D400" s="20">
        <f>14-C400</f>
        <v>8.823906931383977</v>
      </c>
      <c r="I400" s="15" t="s">
        <v>2</v>
      </c>
      <c r="J400" s="21">
        <v>-64.2</v>
      </c>
      <c r="K400" s="21"/>
      <c r="N400" s="21">
        <f>+J405^2/N399^2</f>
        <v>32.099999999999966</v>
      </c>
      <c r="O400" s="21">
        <f>1+J405</f>
        <v>1.8499779360229542</v>
      </c>
      <c r="P400" s="21"/>
      <c r="Q400" s="21">
        <f>+N400*O401</f>
        <v>69.01570825366309</v>
      </c>
      <c r="R400" s="21">
        <f>+Q400+O400</f>
        <v>70.86568618968604</v>
      </c>
      <c r="S400" s="68" t="s">
        <v>59</v>
      </c>
      <c r="T400" s="42">
        <f>+N399+2</f>
        <v>2.1500220639770458</v>
      </c>
      <c r="U400" s="32">
        <f>+T400/$T$403</f>
        <v>0.43000441279540913</v>
      </c>
    </row>
    <row r="401" spans="1:21" ht="15">
      <c r="A401" s="30" t="s">
        <v>9</v>
      </c>
      <c r="B401" s="21">
        <f>+(-B396-B399)/(2*B395)</f>
        <v>-6.666694444502315E-06</v>
      </c>
      <c r="I401" s="15" t="s">
        <v>4</v>
      </c>
      <c r="J401" s="21">
        <v>32.1</v>
      </c>
      <c r="K401" s="21"/>
      <c r="O401" s="21">
        <f>+N399+2</f>
        <v>2.1500220639770458</v>
      </c>
      <c r="P401" s="21"/>
      <c r="R401" s="50">
        <f>+R399/R400</f>
        <v>0.1239166519575935</v>
      </c>
      <c r="S401" s="68" t="s">
        <v>60</v>
      </c>
      <c r="T401" s="42">
        <f>+J405+1</f>
        <v>1.8499779360229542</v>
      </c>
      <c r="U401" s="32">
        <f>+T401/$T$403</f>
        <v>0.36999558720459086</v>
      </c>
    </row>
    <row r="402" spans="9:21" ht="15">
      <c r="I402" s="15" t="s">
        <v>7</v>
      </c>
      <c r="J402" s="21">
        <f>+(J400^2)-4*J399*J401</f>
        <v>128.4000000000001</v>
      </c>
      <c r="K402" s="21"/>
      <c r="O402" s="21">
        <f>+N399*O401</f>
        <v>0.3225507476340241</v>
      </c>
      <c r="P402" s="21"/>
      <c r="S402" s="68" t="s">
        <v>62</v>
      </c>
      <c r="T402" s="35">
        <f>+J405+R401</f>
        <v>0.9738945879805478</v>
      </c>
      <c r="U402" s="32">
        <f>+T402/$T$403</f>
        <v>0.19477891759610957</v>
      </c>
    </row>
    <row r="403" spans="1:21" ht="15">
      <c r="A403" s="15" t="s">
        <v>0</v>
      </c>
      <c r="B403" s="46">
        <v>1</v>
      </c>
      <c r="D403" s="21">
        <v>0.016</v>
      </c>
      <c r="I403" s="15" t="s">
        <v>6</v>
      </c>
      <c r="J403" s="21">
        <f>+SQRT(J402)</f>
        <v>11.33137237937224</v>
      </c>
      <c r="K403" s="21"/>
      <c r="T403" s="32">
        <f>+SUM(T399:T402)</f>
        <v>5</v>
      </c>
      <c r="U403" s="32">
        <f>+SUM(U399:U402)</f>
        <v>0.9999999999999999</v>
      </c>
    </row>
    <row r="404" spans="1:16" ht="15">
      <c r="A404" s="15" t="s">
        <v>2</v>
      </c>
      <c r="B404" s="21">
        <f>D403</f>
        <v>0.016</v>
      </c>
      <c r="D404" s="21">
        <f>+D403*0.2</f>
        <v>0.0032</v>
      </c>
      <c r="I404" s="30" t="s">
        <v>8</v>
      </c>
      <c r="J404" s="50">
        <f>+(-J400+J403)/(2*J399)</f>
        <v>1.2143307456490713</v>
      </c>
      <c r="K404" s="50"/>
      <c r="N404" s="21">
        <f>1-J405</f>
        <v>0.15002206397704565</v>
      </c>
      <c r="O404" s="32">
        <f>+N404/$N$408</f>
        <v>0.07501103198852282</v>
      </c>
      <c r="P404" s="32"/>
    </row>
    <row r="405" spans="1:16" ht="15">
      <c r="A405" s="15" t="s">
        <v>4</v>
      </c>
      <c r="B405" s="21">
        <f>-D404</f>
        <v>-0.0032</v>
      </c>
      <c r="I405" s="30" t="s">
        <v>9</v>
      </c>
      <c r="J405" s="21">
        <f>+(-J400-J403)/(2*J399)</f>
        <v>0.8499779360229544</v>
      </c>
      <c r="K405" s="21"/>
      <c r="N405" s="21">
        <f>1-J405</f>
        <v>0.15002206397704565</v>
      </c>
      <c r="O405" s="32">
        <f>+N405/$N$408</f>
        <v>0.07501103198852282</v>
      </c>
      <c r="P405" s="32"/>
    </row>
    <row r="406" spans="1:16" ht="15">
      <c r="A406" s="15" t="s">
        <v>7</v>
      </c>
      <c r="B406" s="45">
        <f>+(B404^2)-4*B403*B405</f>
        <v>0.013056</v>
      </c>
      <c r="D406" s="21">
        <f>0.2-B408</f>
        <v>0.1508685725716572</v>
      </c>
      <c r="E406" s="21">
        <f>+B408+0.15</f>
        <v>0.19913142742834278</v>
      </c>
      <c r="F406" s="50">
        <f>+D411*D406/E406</f>
        <v>9.546177813077412E-08</v>
      </c>
      <c r="G406" s="44">
        <f>-LOG10(F406)</f>
        <v>7.02017048045384</v>
      </c>
      <c r="N406" s="21">
        <f>J405</f>
        <v>0.8499779360229544</v>
      </c>
      <c r="O406" s="32">
        <f>+N406/$N$408</f>
        <v>0.4249889680114772</v>
      </c>
      <c r="P406" s="32"/>
    </row>
    <row r="407" spans="1:16" ht="15">
      <c r="A407" s="15" t="s">
        <v>6</v>
      </c>
      <c r="B407" s="64">
        <f>+SQRT(B406)</f>
        <v>0.1142628548566856</v>
      </c>
      <c r="N407" s="21">
        <f>J405</f>
        <v>0.8499779360229544</v>
      </c>
      <c r="O407" s="32">
        <f>+N407/$N$408</f>
        <v>0.4249889680114772</v>
      </c>
      <c r="P407" s="32"/>
    </row>
    <row r="408" spans="1:16" ht="15">
      <c r="A408" s="30" t="s">
        <v>8</v>
      </c>
      <c r="B408" s="50">
        <f>+(-B404+B407)/(2*B403)</f>
        <v>0.0491314274283428</v>
      </c>
      <c r="C408" s="44">
        <f>-LOG10(B408)</f>
        <v>1.3086406180095485</v>
      </c>
      <c r="E408" s="21"/>
      <c r="N408" s="32">
        <f>+SUM(N404:N407)</f>
        <v>2</v>
      </c>
      <c r="O408" s="32">
        <f>+SUM(O404:O407)</f>
        <v>1</v>
      </c>
      <c r="P408" s="32"/>
    </row>
    <row r="409" spans="1:2" ht="15">
      <c r="A409" s="30" t="s">
        <v>9</v>
      </c>
      <c r="B409" s="21">
        <f>+(-B404-B407)/(2*B403)</f>
        <v>-0.0651314274283428</v>
      </c>
    </row>
    <row r="411" spans="1:22" ht="15">
      <c r="A411" s="15" t="s">
        <v>0</v>
      </c>
      <c r="B411" s="46">
        <v>1</v>
      </c>
      <c r="D411" s="21">
        <v>1.26E-07</v>
      </c>
      <c r="F411" s="21">
        <f>+D411*D406</f>
        <v>1.9009440144028807E-08</v>
      </c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5">
      <c r="A412" s="15" t="s">
        <v>2</v>
      </c>
      <c r="B412" s="21">
        <f>F412</f>
        <v>0.19913155342834277</v>
      </c>
      <c r="D412" s="21">
        <f>+D411*B408</f>
        <v>6.190559855971192E-09</v>
      </c>
      <c r="F412" s="21">
        <f>+D411+E406</f>
        <v>0.19913155342834277</v>
      </c>
      <c r="I412" s="15" t="s">
        <v>0</v>
      </c>
      <c r="J412" s="21">
        <v>1</v>
      </c>
      <c r="K412" s="21"/>
      <c r="N412" s="68" t="s">
        <v>29</v>
      </c>
      <c r="O412" s="69">
        <v>0.00284</v>
      </c>
      <c r="P412" s="69"/>
      <c r="Q412" s="8"/>
      <c r="R412" s="8"/>
      <c r="S412" s="8"/>
      <c r="T412" s="8"/>
      <c r="U412" s="8"/>
      <c r="V412" s="8"/>
    </row>
    <row r="413" spans="1:22" ht="15">
      <c r="A413" s="15" t="s">
        <v>4</v>
      </c>
      <c r="B413" s="21">
        <f>-F411</f>
        <v>-1.9009440144028807E-08</v>
      </c>
      <c r="D413" s="21">
        <f>+D411+B408</f>
        <v>0.0491315534283428</v>
      </c>
      <c r="I413" s="15" t="s">
        <v>2</v>
      </c>
      <c r="J413" s="21">
        <f>O415</f>
        <v>0.09815892</v>
      </c>
      <c r="K413" s="21"/>
      <c r="N413" s="68" t="s">
        <v>66</v>
      </c>
      <c r="O413" s="15">
        <v>843</v>
      </c>
      <c r="P413" s="15"/>
      <c r="Q413" s="8"/>
      <c r="R413" s="8"/>
      <c r="S413" s="8"/>
      <c r="T413" s="8"/>
      <c r="U413" s="8"/>
      <c r="V413" s="8"/>
    </row>
    <row r="414" spans="1:22" ht="15">
      <c r="A414" s="15" t="s">
        <v>7</v>
      </c>
      <c r="B414" s="45">
        <f>+(B412^2)-4*B411*B413</f>
        <v>0.039653451608545505</v>
      </c>
      <c r="I414" s="15" t="s">
        <v>4</v>
      </c>
      <c r="J414" s="21">
        <f>-O415</f>
        <v>-0.09815892</v>
      </c>
      <c r="K414" s="21"/>
      <c r="N414" s="68" t="s">
        <v>33</v>
      </c>
      <c r="O414" s="69">
        <f>+O412*0.082*O413</f>
        <v>0.19631784</v>
      </c>
      <c r="P414" s="69"/>
      <c r="Q414" s="8"/>
      <c r="R414" s="8"/>
      <c r="S414" s="8"/>
      <c r="T414" s="8"/>
      <c r="U414" s="8"/>
      <c r="V414" s="8"/>
    </row>
    <row r="415" spans="1:22" ht="15">
      <c r="A415" s="15" t="s">
        <v>6</v>
      </c>
      <c r="B415" s="64">
        <f>+SQRT(B414)</f>
        <v>0.19913174435168668</v>
      </c>
      <c r="I415" s="15" t="s">
        <v>7</v>
      </c>
      <c r="J415" s="21">
        <f>+(J413^2)-4*J412*J414</f>
        <v>0.4022708535755664</v>
      </c>
      <c r="K415" s="21"/>
      <c r="N415" s="68" t="s">
        <v>39</v>
      </c>
      <c r="O415" s="69">
        <f>+O414/2</f>
        <v>0.09815892</v>
      </c>
      <c r="P415" s="69"/>
      <c r="Q415" s="8"/>
      <c r="R415" s="8"/>
      <c r="S415" s="8"/>
      <c r="T415" s="8"/>
      <c r="U415" s="8"/>
      <c r="V415" s="8"/>
    </row>
    <row r="416" spans="1:22" ht="15">
      <c r="A416" s="30" t="s">
        <v>8</v>
      </c>
      <c r="B416" s="50">
        <f>+(-B412+B415)/(2*B411)</f>
        <v>9.546167195617627E-08</v>
      </c>
      <c r="C416" s="44">
        <f>-LOG10(B416)</f>
        <v>7.020170963485567</v>
      </c>
      <c r="D416" s="50">
        <f>+B408+B416</f>
        <v>0.04913152289001475</v>
      </c>
      <c r="E416" s="44">
        <f>-LOG10(D416)</f>
        <v>1.3086397741823026</v>
      </c>
      <c r="I416" s="15" t="s">
        <v>6</v>
      </c>
      <c r="J416" s="21">
        <f>+SQRT(J415)</f>
        <v>0.6342482586302988</v>
      </c>
      <c r="K416" s="21"/>
      <c r="L416" s="8"/>
      <c r="M416" s="8"/>
      <c r="N416" s="68" t="s">
        <v>67</v>
      </c>
      <c r="O416" s="70">
        <f>J417</f>
        <v>0.26804466931514936</v>
      </c>
      <c r="P416" s="70"/>
      <c r="Q416" s="8"/>
      <c r="R416" s="8"/>
      <c r="S416" s="8"/>
      <c r="T416" s="8"/>
      <c r="U416" s="8"/>
      <c r="V416" s="8"/>
    </row>
    <row r="417" spans="1:22" ht="15">
      <c r="A417" s="30" t="s">
        <v>9</v>
      </c>
      <c r="B417" s="21">
        <f>+(-B412-B415)/(2*B411)</f>
        <v>-0.19913164889001472</v>
      </c>
      <c r="I417" s="30" t="s">
        <v>8</v>
      </c>
      <c r="J417" s="50">
        <f>+(-J413+J416)/(2*J412)</f>
        <v>0.26804466931514936</v>
      </c>
      <c r="K417" s="50"/>
      <c r="L417" s="8"/>
      <c r="M417" s="8"/>
      <c r="N417" s="68" t="s">
        <v>68</v>
      </c>
      <c r="O417" s="70">
        <f>1-O416</f>
        <v>0.7319553306848506</v>
      </c>
      <c r="P417" s="70"/>
      <c r="Q417" s="8"/>
      <c r="R417" s="8"/>
      <c r="S417" s="8"/>
      <c r="T417" s="8"/>
      <c r="U417" s="8"/>
      <c r="V417" s="8"/>
    </row>
    <row r="418" spans="9:22" ht="15">
      <c r="I418" s="30" t="s">
        <v>9</v>
      </c>
      <c r="J418" s="21">
        <f>+(-J413-J416)/(2*J412)</f>
        <v>-0.3662035893151494</v>
      </c>
      <c r="K418" s="21"/>
      <c r="L418" s="8"/>
      <c r="M418" s="8"/>
      <c r="N418" s="68" t="s">
        <v>69</v>
      </c>
      <c r="O418" s="71">
        <f>+O416*2</f>
        <v>0.5360893386302987</v>
      </c>
      <c r="P418" s="71"/>
      <c r="Q418" s="8"/>
      <c r="R418" s="8"/>
      <c r="S418" s="8"/>
      <c r="T418" s="8"/>
      <c r="U418" s="8"/>
      <c r="V418" s="8"/>
    </row>
    <row r="419" spans="1:22" ht="15">
      <c r="A419" s="21">
        <f>10^-3.9</f>
        <v>0.00012589254117941672</v>
      </c>
      <c r="B419" s="21">
        <f>+A420*0.05</f>
        <v>8.9E-06</v>
      </c>
      <c r="L419" s="8"/>
      <c r="M419" s="8"/>
      <c r="N419" s="68" t="s">
        <v>70</v>
      </c>
      <c r="O419" s="71">
        <f>+O417*2</f>
        <v>1.4639106613697013</v>
      </c>
      <c r="P419" s="71"/>
      <c r="Q419" s="8"/>
      <c r="R419" s="8"/>
      <c r="S419" s="8"/>
      <c r="T419" s="8"/>
      <c r="U419" s="8"/>
      <c r="V419" s="8"/>
    </row>
    <row r="420" spans="1:22" ht="15">
      <c r="A420" s="21">
        <v>0.000178</v>
      </c>
      <c r="B420" s="20">
        <f>+A419*0.05</f>
        <v>6.2946270589708365E-06</v>
      </c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19" ht="15">
      <c r="A421" s="20">
        <f>+A420*0.05</f>
        <v>8.9E-06</v>
      </c>
      <c r="B421" s="21">
        <f>+B419-B420</f>
        <v>2.605372941029163E-06</v>
      </c>
      <c r="N421" s="7" t="s">
        <v>32</v>
      </c>
      <c r="O421" s="7" t="s">
        <v>11</v>
      </c>
      <c r="P421" s="7"/>
      <c r="Q421" s="7" t="s">
        <v>57</v>
      </c>
      <c r="R421" s="7" t="s">
        <v>33</v>
      </c>
      <c r="S421" s="7" t="s">
        <v>29</v>
      </c>
    </row>
    <row r="422" spans="1:19" ht="15">
      <c r="A422" s="20">
        <f>+A419*0.05</f>
        <v>6.2946270589708365E-06</v>
      </c>
      <c r="B422" s="21">
        <f>+A419+A420</f>
        <v>0.0003038925411794167</v>
      </c>
      <c r="I422" s="15" t="s">
        <v>0</v>
      </c>
      <c r="J422" s="72">
        <v>4.010526315789473</v>
      </c>
      <c r="K422" s="72"/>
      <c r="L422" s="68" t="s">
        <v>54</v>
      </c>
      <c r="M422" s="68"/>
      <c r="N422" s="71">
        <f>+J428</f>
        <v>0.9999999999999991</v>
      </c>
      <c r="O422" s="42">
        <f>+N422/$N$425</f>
        <v>0.3333333333333333</v>
      </c>
      <c r="P422" s="42"/>
      <c r="Q422" s="42">
        <f>+O422*$O$426</f>
        <v>0.6684210526315788</v>
      </c>
      <c r="R422" s="42">
        <f>+Q422*Q423/Q424</f>
        <v>0.6684210526315788</v>
      </c>
      <c r="S422" s="32">
        <f>+(N422/73.5)^2/(N424/73.5)</f>
        <v>0.013605442176870736</v>
      </c>
    </row>
    <row r="423" spans="1:17" ht="15">
      <c r="A423" s="20">
        <f>+A421-A422</f>
        <v>2.605372941029163E-06</v>
      </c>
      <c r="B423" s="21">
        <f>+B421/B422</f>
        <v>0.0085733362553672</v>
      </c>
      <c r="I423" s="15" t="s">
        <v>2</v>
      </c>
      <c r="J423" s="21">
        <f>+-12.0315789473684</f>
        <v>-12.031578947368422</v>
      </c>
      <c r="K423" s="21"/>
      <c r="L423" s="68" t="s">
        <v>53</v>
      </c>
      <c r="M423" s="68"/>
      <c r="N423" s="71">
        <f>J428</f>
        <v>0.9999999999999991</v>
      </c>
      <c r="O423" s="42">
        <f>+N423/$N$425</f>
        <v>0.3333333333333333</v>
      </c>
      <c r="P423" s="42"/>
      <c r="Q423" s="42">
        <f>+O423*$O$426</f>
        <v>0.6684210526315788</v>
      </c>
    </row>
    <row r="424" spans="1:19" ht="15">
      <c r="A424" s="57">
        <f>+A419+A420</f>
        <v>0.0003038925411794167</v>
      </c>
      <c r="I424" s="15" t="s">
        <v>4</v>
      </c>
      <c r="J424" s="72">
        <v>8.021052631578947</v>
      </c>
      <c r="K424" s="72"/>
      <c r="L424" s="68" t="s">
        <v>55</v>
      </c>
      <c r="M424" s="68"/>
      <c r="N424" s="71">
        <f>J428</f>
        <v>0.9999999999999991</v>
      </c>
      <c r="O424" s="42">
        <f>+N424/$N$425</f>
        <v>0.3333333333333333</v>
      </c>
      <c r="P424" s="42"/>
      <c r="Q424" s="42">
        <f>+O424*$O$426</f>
        <v>0.6684210526315788</v>
      </c>
      <c r="S424" s="32">
        <f>+R422/(0.082*523)^1</f>
        <v>0.015585996656987799</v>
      </c>
    </row>
    <row r="425" spans="1:14" ht="15">
      <c r="A425" s="57">
        <f>+A423/A424</f>
        <v>0.0085733362553672</v>
      </c>
      <c r="I425" s="15" t="s">
        <v>7</v>
      </c>
      <c r="J425" s="21">
        <f>+(J423^2)-4*J422*J424</f>
        <v>16.08432132963995</v>
      </c>
      <c r="K425" s="21"/>
      <c r="L425" s="68"/>
      <c r="M425" s="68"/>
      <c r="N425" s="71">
        <f>+SUM(N422:N424)</f>
        <v>2.9999999999999973</v>
      </c>
    </row>
    <row r="426" spans="1:16" ht="15">
      <c r="A426" s="20">
        <f>+A425/0.05</f>
        <v>0.171466725107344</v>
      </c>
      <c r="I426" s="15" t="s">
        <v>6</v>
      </c>
      <c r="J426" s="21">
        <f>+SQRT(J425)</f>
        <v>4.010526315789481</v>
      </c>
      <c r="K426" s="21"/>
      <c r="L426" s="68"/>
      <c r="M426" s="68"/>
      <c r="N426" s="68"/>
      <c r="O426" s="35">
        <f>1524/760</f>
        <v>2.0052631578947366</v>
      </c>
      <c r="P426" s="35"/>
    </row>
    <row r="427" spans="1:14" ht="15">
      <c r="A427" s="60">
        <f>+A426*1000</f>
        <v>171.46672510734402</v>
      </c>
      <c r="I427" s="30" t="s">
        <v>8</v>
      </c>
      <c r="J427" s="50">
        <f>+(-J423+J426)/(2*J422)</f>
        <v>2.0000000000000013</v>
      </c>
      <c r="K427" s="50"/>
      <c r="L427" s="68"/>
      <c r="M427" s="68"/>
      <c r="N427" s="68"/>
    </row>
    <row r="428" spans="1:14" ht="15">
      <c r="A428" s="20">
        <f>-LOG10(A420)</f>
        <v>3.749579997691106</v>
      </c>
      <c r="I428" s="30" t="s">
        <v>9</v>
      </c>
      <c r="J428" s="21">
        <f>+(-J423-J426)/(2*J422)</f>
        <v>0.9999999999999991</v>
      </c>
      <c r="K428" s="21"/>
      <c r="L428" s="68"/>
      <c r="M428" s="68"/>
      <c r="N428" s="68"/>
    </row>
    <row r="429" ht="15">
      <c r="N429" s="68"/>
    </row>
    <row r="430" spans="12:15" ht="15">
      <c r="L430" s="20">
        <f>750/760*0.734/(0.082*295)</f>
        <v>0.02994386545114336</v>
      </c>
      <c r="O430" s="20">
        <f>745/760*0.63/(0.082*295)</f>
        <v>0.02552979700180588</v>
      </c>
    </row>
    <row r="431" spans="12:15" ht="15">
      <c r="L431" s="20">
        <v>63.55</v>
      </c>
      <c r="O431" s="20">
        <v>107.87</v>
      </c>
    </row>
    <row r="432" spans="1:15" ht="15">
      <c r="A432" s="42">
        <f>2.5*17/46</f>
        <v>0.9239130434782609</v>
      </c>
      <c r="B432" s="58">
        <f>+A432*17</f>
        <v>15.706521739130435</v>
      </c>
      <c r="C432" s="20">
        <f>+B435/0.0821/673</f>
        <v>1.0563996216948364</v>
      </c>
      <c r="L432" s="20">
        <v>24.31</v>
      </c>
      <c r="O432" s="20">
        <v>55.85</v>
      </c>
    </row>
    <row r="433" spans="1:15" ht="15">
      <c r="A433" s="42">
        <f>2.5*28/46</f>
        <v>1.5217391304347827</v>
      </c>
      <c r="B433" s="58">
        <f>+A433*28</f>
        <v>42.608695652173914</v>
      </c>
      <c r="L433" s="20">
        <f>+L430*L431*L432</f>
        <v>46.2602927074041</v>
      </c>
      <c r="O433" s="20">
        <f>+O430*O431*O432</f>
        <v>153.8052704643611</v>
      </c>
    </row>
    <row r="434" spans="1:15" ht="15">
      <c r="A434" s="42">
        <f>2.5/46</f>
        <v>0.05434782608695652</v>
      </c>
      <c r="B434" s="42">
        <f>+A434</f>
        <v>0.05434782608695652</v>
      </c>
      <c r="L434" s="20">
        <f>+L432*4.2*0.5</f>
        <v>51.051</v>
      </c>
      <c r="O434" s="20">
        <f>+O432*4.5*0.5</f>
        <v>125.66250000000001</v>
      </c>
    </row>
    <row r="435" spans="1:15" ht="15">
      <c r="A435" s="42">
        <f>SUM(A432:A434)</f>
        <v>2.5</v>
      </c>
      <c r="B435" s="58">
        <f>SUM(B432:B434)</f>
        <v>58.369565217391305</v>
      </c>
      <c r="L435" s="20">
        <f>+L433-L434</f>
        <v>-4.790707292595904</v>
      </c>
      <c r="O435" s="20">
        <f>-O434+O433</f>
        <v>28.142770464361078</v>
      </c>
    </row>
    <row r="436" spans="12:15" ht="15">
      <c r="L436" s="20">
        <f>0.5*L432</f>
        <v>12.155</v>
      </c>
      <c r="O436" s="20">
        <f>0.5*O432</f>
        <v>27.925</v>
      </c>
    </row>
    <row r="437" spans="12:15" ht="15">
      <c r="L437" s="20">
        <f>+L431-L436</f>
        <v>51.394999999999996</v>
      </c>
      <c r="O437" s="20">
        <f>+O431-O436</f>
        <v>79.94500000000001</v>
      </c>
    </row>
    <row r="438" spans="1:17" ht="15">
      <c r="A438" s="21"/>
      <c r="L438" s="42">
        <f>+L437/L435</f>
        <v>-10.728060985782118</v>
      </c>
      <c r="M438" s="42"/>
      <c r="N438" s="20" t="s">
        <v>72</v>
      </c>
      <c r="O438" s="42">
        <f>+O437/O435</f>
        <v>2.84069402837362</v>
      </c>
      <c r="P438" s="42"/>
      <c r="Q438" s="20" t="s">
        <v>73</v>
      </c>
    </row>
    <row r="439" spans="1:17" ht="15">
      <c r="A439" s="21"/>
      <c r="L439" s="42">
        <f>(4.5-L438)</f>
        <v>15.228060985782118</v>
      </c>
      <c r="M439" s="42"/>
      <c r="N439" s="20" t="s">
        <v>71</v>
      </c>
      <c r="O439" s="42">
        <f>(4.5-O438)</f>
        <v>1.65930597162638</v>
      </c>
      <c r="P439" s="42"/>
      <c r="Q439" s="20" t="s">
        <v>74</v>
      </c>
    </row>
    <row r="440" spans="1:16" ht="15">
      <c r="A440" s="21"/>
      <c r="L440" s="58">
        <f>+L438*100/(4.5)</f>
        <v>-238.4013552396026</v>
      </c>
      <c r="M440" s="58"/>
      <c r="O440" s="58">
        <f>+O438*100/(4.5)</f>
        <v>63.12653396385823</v>
      </c>
      <c r="P440" s="58"/>
    </row>
    <row r="441" spans="1:16" ht="15">
      <c r="A441" s="35"/>
      <c r="L441" s="58">
        <f>+L439*100/(4.5)</f>
        <v>338.4013552396026</v>
      </c>
      <c r="M441" s="58"/>
      <c r="O441" s="58">
        <f>+O439*100/(4.5)</f>
        <v>36.87346603614178</v>
      </c>
      <c r="P441" s="58"/>
    </row>
    <row r="442" spans="1:2" ht="15">
      <c r="A442" s="60"/>
      <c r="B442" s="42"/>
    </row>
    <row r="443" spans="1:20" ht="15">
      <c r="A443" s="60"/>
      <c r="B443" s="42"/>
      <c r="J443" s="7" t="s">
        <v>32</v>
      </c>
      <c r="K443" s="7"/>
      <c r="L443" s="7" t="s">
        <v>11</v>
      </c>
      <c r="M443" s="7"/>
      <c r="N443" s="7" t="s">
        <v>39</v>
      </c>
      <c r="O443" s="7" t="s">
        <v>33</v>
      </c>
      <c r="P443" s="7"/>
      <c r="Q443" s="7" t="s">
        <v>29</v>
      </c>
      <c r="R443" s="7" t="s">
        <v>41</v>
      </c>
      <c r="S443" s="7"/>
      <c r="T443" s="7"/>
    </row>
    <row r="444" spans="1:18" ht="15">
      <c r="A444" s="324" t="s">
        <v>379</v>
      </c>
      <c r="B444" s="324"/>
      <c r="C444" s="324"/>
      <c r="D444" s="324" t="s">
        <v>380</v>
      </c>
      <c r="E444" s="324"/>
      <c r="F444" s="324"/>
      <c r="I444" s="68" t="s">
        <v>75</v>
      </c>
      <c r="J444" s="42">
        <f>(54/108.01)-0.16</f>
        <v>0.3399537079900009</v>
      </c>
      <c r="K444" s="42"/>
      <c r="L444" s="42">
        <f>+J444/$J$447</f>
        <v>0.5151175057798927</v>
      </c>
      <c r="M444" s="42"/>
      <c r="N444" s="35">
        <f>+L445*L446/L444</f>
        <v>0.1141055344475005</v>
      </c>
      <c r="O444" s="35">
        <f>+N444*1.85</f>
        <v>0.21109523872787594</v>
      </c>
      <c r="P444" s="35"/>
      <c r="Q444" s="31">
        <f>+O444/(0.082*673)</f>
        <v>0.0038251592564758443</v>
      </c>
      <c r="R444" s="58">
        <f>+J445^2/(Q444*J444)</f>
        <v>19.686597475208757</v>
      </c>
    </row>
    <row r="445" spans="1:18" ht="15">
      <c r="A445" s="181" t="s">
        <v>377</v>
      </c>
      <c r="B445" s="181" t="s">
        <v>41</v>
      </c>
      <c r="C445" s="181" t="s">
        <v>278</v>
      </c>
      <c r="D445" s="181" t="s">
        <v>377</v>
      </c>
      <c r="E445" s="181" t="s">
        <v>56</v>
      </c>
      <c r="F445" s="181" t="s">
        <v>378</v>
      </c>
      <c r="I445" s="68" t="s">
        <v>76</v>
      </c>
      <c r="J445" s="20">
        <v>0.16</v>
      </c>
      <c r="L445" s="42">
        <f>+J445/$J$447</f>
        <v>0.24244124711005363</v>
      </c>
      <c r="M445" s="42"/>
      <c r="N445" s="54">
        <f>+N450*N451/N449</f>
        <v>0.11410553444750053</v>
      </c>
      <c r="O445" s="54">
        <f>+N445*1.85</f>
        <v>0.211095238727876</v>
      </c>
      <c r="P445" s="54"/>
      <c r="Q445" s="65">
        <f>+O445/(0.082*673)</f>
        <v>0.003825159256475845</v>
      </c>
      <c r="R445" s="73">
        <f>L450*L451/(Q445*L449)</f>
        <v>160.03801970370756</v>
      </c>
    </row>
    <row r="446" spans="1:13" ht="15">
      <c r="A446" s="352">
        <f>D451</f>
        <v>0.09968314259359035</v>
      </c>
      <c r="B446" s="164">
        <v>12.2</v>
      </c>
      <c r="C446" s="182">
        <f>+B446*$A$446/1000</f>
        <v>0.001216134339641802</v>
      </c>
      <c r="D446" s="182">
        <f>+C446*5</f>
        <v>0.006080671698209011</v>
      </c>
      <c r="E446" s="182">
        <f>+D446/2</f>
        <v>0.0030403358491045054</v>
      </c>
      <c r="F446" s="166">
        <f>+E446*22.414/2</f>
        <v>0.03407304386091419</v>
      </c>
      <c r="I446" s="68" t="s">
        <v>28</v>
      </c>
      <c r="J446" s="20">
        <v>0.16</v>
      </c>
      <c r="L446" s="42">
        <f>+J446/$J$447</f>
        <v>0.24244124711005363</v>
      </c>
      <c r="M446" s="42"/>
    </row>
    <row r="447" spans="1:15" ht="15">
      <c r="A447" s="352"/>
      <c r="B447" s="164">
        <v>12.1</v>
      </c>
      <c r="C447" s="182">
        <f>+B447*$A$446/1000</f>
        <v>0.0012061660253824432</v>
      </c>
      <c r="D447" s="182">
        <f>+C447*5</f>
        <v>0.006030830126912216</v>
      </c>
      <c r="E447" s="182">
        <f>+D447/2</f>
        <v>0.003015415063456108</v>
      </c>
      <c r="F447" s="166">
        <f>+E447*22.414/2</f>
        <v>0.0337937566161526</v>
      </c>
      <c r="J447" s="42">
        <f>+SUM(J444:J446)</f>
        <v>0.659953707990001</v>
      </c>
      <c r="K447" s="42"/>
      <c r="L447" s="42">
        <f>+SUM(L444:L446)</f>
        <v>1</v>
      </c>
      <c r="M447" s="42"/>
      <c r="O447" s="20">
        <f>3.34+1.16+0.16</f>
        <v>4.66</v>
      </c>
    </row>
    <row r="448" spans="15:16" ht="15">
      <c r="O448" s="35">
        <f>1.16*0.16</f>
        <v>0.1856</v>
      </c>
      <c r="P448" s="35"/>
    </row>
    <row r="449" spans="9:16" ht="15">
      <c r="I449" s="15" t="s">
        <v>0</v>
      </c>
      <c r="J449" s="35">
        <f>1+N444</f>
        <v>1.1141055344475006</v>
      </c>
      <c r="K449" s="35"/>
      <c r="L449" s="42">
        <f>3.34-J454</f>
        <v>2.6350462716656557</v>
      </c>
      <c r="M449" s="42"/>
      <c r="N449" s="42">
        <f>+L449/$L$452</f>
        <v>0.49115917957483635</v>
      </c>
      <c r="O449" s="42">
        <f>4.66*3.34</f>
        <v>15.5644</v>
      </c>
      <c r="P449" s="42"/>
    </row>
    <row r="450" spans="1:16" ht="15">
      <c r="A450" s="183" t="s">
        <v>381</v>
      </c>
      <c r="B450" s="324" t="s">
        <v>379</v>
      </c>
      <c r="C450" s="324"/>
      <c r="D450" s="324"/>
      <c r="E450" s="324"/>
      <c r="I450" s="15" t="s">
        <v>2</v>
      </c>
      <c r="J450" s="21">
        <f>1.32-O451</f>
        <v>1.4706193054707009</v>
      </c>
      <c r="K450" s="21"/>
      <c r="L450" s="42">
        <f>1.16+J454</f>
        <v>1.8649537283343443</v>
      </c>
      <c r="M450" s="42"/>
      <c r="N450" s="42">
        <f>+L450/$L$452</f>
        <v>0.34761785893600916</v>
      </c>
      <c r="O450" s="35">
        <f>+O449*N444</f>
        <v>1.7759841803546768</v>
      </c>
      <c r="P450" s="35"/>
    </row>
    <row r="451" spans="1:16" ht="15">
      <c r="A451" s="166">
        <v>0.097</v>
      </c>
      <c r="B451" s="164">
        <v>14.3</v>
      </c>
      <c r="C451" s="167">
        <f>+A451/($A$454/2)*1000/B451</f>
        <v>0.10124204154054901</v>
      </c>
      <c r="D451" s="353">
        <f>+(C451+C452)/2</f>
        <v>0.09968314259359035</v>
      </c>
      <c r="E451" s="354">
        <f>+D451/5</f>
        <v>0.01993662851871807</v>
      </c>
      <c r="I451" s="15" t="s">
        <v>4</v>
      </c>
      <c r="J451" s="32">
        <f>+O448-O450</f>
        <v>-1.5903841803546768</v>
      </c>
      <c r="K451" s="32"/>
      <c r="L451" s="42">
        <f>0.16+J454</f>
        <v>0.8649537283343443</v>
      </c>
      <c r="M451" s="42"/>
      <c r="N451" s="42">
        <f>+L451/$L$452</f>
        <v>0.1612229614891546</v>
      </c>
      <c r="O451" s="35">
        <f>+-1.32*N444</f>
        <v>-0.15061930547070068</v>
      </c>
      <c r="P451" s="35"/>
    </row>
    <row r="452" spans="1:16" ht="15">
      <c r="A452" s="164">
        <v>0.0973</v>
      </c>
      <c r="B452" s="164">
        <v>14.8</v>
      </c>
      <c r="C452" s="166">
        <f>+A452/($A$454/2)*1000/B452</f>
        <v>0.09812424364663169</v>
      </c>
      <c r="D452" s="353"/>
      <c r="E452" s="354"/>
      <c r="I452" s="15" t="s">
        <v>7</v>
      </c>
      <c r="J452" s="21">
        <f>+(J450^2)-4*J449*J451</f>
        <v>9.250144410546715</v>
      </c>
      <c r="K452" s="21"/>
      <c r="L452" s="42">
        <f>+SUM(L449:L451)</f>
        <v>5.364953728334344</v>
      </c>
      <c r="M452" s="42"/>
      <c r="N452" s="42">
        <f>+SUM(N449:N451)</f>
        <v>1</v>
      </c>
      <c r="O452" s="32"/>
      <c r="P452" s="32"/>
    </row>
    <row r="453" spans="1:11" ht="15">
      <c r="A453" s="164"/>
      <c r="B453" s="164"/>
      <c r="C453" s="164"/>
      <c r="D453" s="164"/>
      <c r="E453" s="164"/>
      <c r="I453" s="15" t="s">
        <v>6</v>
      </c>
      <c r="J453" s="21">
        <f>+SQRT(J452)</f>
        <v>3.0414050060040863</v>
      </c>
      <c r="K453" s="21"/>
    </row>
    <row r="454" spans="1:11" ht="15">
      <c r="A454" s="164">
        <v>134</v>
      </c>
      <c r="B454" s="164"/>
      <c r="C454" s="164"/>
      <c r="D454" s="164"/>
      <c r="E454" s="164"/>
      <c r="I454" s="30" t="s">
        <v>8</v>
      </c>
      <c r="J454" s="52">
        <f>+(-J450+J453)/(2*J449)</f>
        <v>0.7049537283343442</v>
      </c>
      <c r="K454" s="52"/>
    </row>
    <row r="455" spans="9:11" ht="15">
      <c r="I455" s="30" t="s">
        <v>9</v>
      </c>
      <c r="J455" s="21">
        <f>+(-J450-J453)/(2*J449)</f>
        <v>-2.0249537283343444</v>
      </c>
      <c r="K455" s="21"/>
    </row>
    <row r="456" spans="1:7" ht="15">
      <c r="A456" s="7"/>
      <c r="B456" s="7" t="s">
        <v>31</v>
      </c>
      <c r="C456" s="7" t="s">
        <v>32</v>
      </c>
      <c r="D456" s="7" t="s">
        <v>30</v>
      </c>
      <c r="E456" s="7" t="s">
        <v>382</v>
      </c>
      <c r="F456" s="7" t="s">
        <v>182</v>
      </c>
      <c r="G456" s="7" t="s">
        <v>33</v>
      </c>
    </row>
    <row r="457" spans="1:18" ht="15">
      <c r="A457" s="68" t="s">
        <v>383</v>
      </c>
      <c r="B457" s="20">
        <v>17</v>
      </c>
      <c r="C457" s="32">
        <f>+C458*2</f>
        <v>0.01655</v>
      </c>
      <c r="D457" s="35">
        <f>+C457*B457</f>
        <v>0.28135</v>
      </c>
      <c r="E457" s="42">
        <f>+C457/$C$460</f>
        <v>0.3333333333333333</v>
      </c>
      <c r="F457" s="35">
        <f>+E457*2.5</f>
        <v>0.8333333333333333</v>
      </c>
      <c r="G457" s="37">
        <f>+F458*F459^3/F457^2</f>
        <v>1.1718750000000002</v>
      </c>
      <c r="J457" s="7" t="s">
        <v>32</v>
      </c>
      <c r="K457" s="7"/>
      <c r="L457" s="7" t="s">
        <v>41</v>
      </c>
      <c r="M457" s="7"/>
      <c r="N457" s="7" t="s">
        <v>29</v>
      </c>
      <c r="O457" s="7"/>
      <c r="P457" s="7"/>
      <c r="Q457" s="7"/>
      <c r="R457" s="7"/>
    </row>
    <row r="458" spans="1:14" ht="15">
      <c r="A458" s="68" t="s">
        <v>27</v>
      </c>
      <c r="B458" s="20">
        <v>28</v>
      </c>
      <c r="C458" s="31">
        <v>0.008275</v>
      </c>
      <c r="D458" s="35">
        <f>+C458*B458</f>
        <v>0.2317</v>
      </c>
      <c r="E458" s="42">
        <f>+C458/$C$460</f>
        <v>0.16666666666666666</v>
      </c>
      <c r="F458" s="35">
        <f>+E458*2.5</f>
        <v>0.41666666666666663</v>
      </c>
      <c r="I458" s="68" t="s">
        <v>75</v>
      </c>
      <c r="J458" s="42">
        <f>(54/108.01)-0.16</f>
        <v>0.3399537079900009</v>
      </c>
      <c r="K458" s="42"/>
      <c r="L458" s="58">
        <f>+J461*0.082*673/1.85</f>
        <v>19.686597475208753</v>
      </c>
      <c r="M458" s="58"/>
      <c r="N458" s="31">
        <f>+(J459/L458)^2/(J458/L458)</f>
        <v>0.0038251592564758456</v>
      </c>
    </row>
    <row r="459" spans="1:10" ht="15">
      <c r="A459" s="68" t="s">
        <v>384</v>
      </c>
      <c r="B459" s="20">
        <v>2</v>
      </c>
      <c r="C459" s="32">
        <f>+C458*3</f>
        <v>0.024825</v>
      </c>
      <c r="D459" s="35">
        <f>+C459*B459</f>
        <v>0.04965</v>
      </c>
      <c r="E459" s="42">
        <f>+C459/$C$460</f>
        <v>0.5</v>
      </c>
      <c r="F459" s="42">
        <f>+E459*2.5</f>
        <v>1.25</v>
      </c>
      <c r="I459" s="68" t="s">
        <v>76</v>
      </c>
      <c r="J459" s="20">
        <v>0.16</v>
      </c>
    </row>
    <row r="460" spans="2:10" ht="15">
      <c r="B460" s="20">
        <f>2*B457+B458+3*B459</f>
        <v>68</v>
      </c>
      <c r="C460" s="32">
        <f>SUM(C457:C459)</f>
        <v>0.04965</v>
      </c>
      <c r="D460" s="35">
        <f>SUM(D457:D459)</f>
        <v>0.5627</v>
      </c>
      <c r="E460" s="42">
        <f>SUM(E457:E459)</f>
        <v>1</v>
      </c>
      <c r="F460" s="42">
        <f>SUM(F457:F459)</f>
        <v>2.5</v>
      </c>
      <c r="I460" s="68" t="s">
        <v>28</v>
      </c>
      <c r="J460" s="20">
        <v>0.16</v>
      </c>
    </row>
    <row r="461" spans="10:11" ht="15">
      <c r="J461" s="42">
        <f>+SUM(J458:J460)</f>
        <v>0.659953707990001</v>
      </c>
      <c r="K461" s="42"/>
    </row>
    <row r="462" spans="2:7" ht="15">
      <c r="B462" s="42"/>
      <c r="C462" s="42">
        <f>2*B457/6</f>
        <v>5.666666666666667</v>
      </c>
      <c r="E462" s="42">
        <f>+($C$466*2/6)/$C$466</f>
        <v>0.3333333333333333</v>
      </c>
      <c r="F462" s="35">
        <f>+E462*2.5</f>
        <v>0.8333333333333333</v>
      </c>
      <c r="G462" s="37">
        <f>+F463*F464^3/F462^2</f>
        <v>1.1718750000000002</v>
      </c>
    </row>
    <row r="463" spans="2:6" ht="15">
      <c r="B463" s="42"/>
      <c r="C463" s="42">
        <f>+B458/6</f>
        <v>4.666666666666667</v>
      </c>
      <c r="E463" s="42">
        <f>+($C$466*1/6)/$C$466</f>
        <v>0.16666666666666666</v>
      </c>
      <c r="F463" s="35">
        <f>+E463*2.5</f>
        <v>0.41666666666666663</v>
      </c>
    </row>
    <row r="464" spans="2:6" ht="15">
      <c r="B464" s="42"/>
      <c r="C464" s="42">
        <f>3/6*B459</f>
        <v>1</v>
      </c>
      <c r="E464" s="42">
        <f>+($C$466*3/6)/$C$466</f>
        <v>0.5</v>
      </c>
      <c r="F464" s="42">
        <f>+E464*2.5</f>
        <v>1.25</v>
      </c>
    </row>
    <row r="465" spans="3:17" ht="15">
      <c r="C465" s="42">
        <f>SUM(C462:C464)</f>
        <v>11.333333333333334</v>
      </c>
      <c r="F465" s="42">
        <f>SUM(F462:F464)</f>
        <v>2.5</v>
      </c>
      <c r="I465" s="15" t="s">
        <v>0</v>
      </c>
      <c r="J465" s="35">
        <v>0.005</v>
      </c>
      <c r="K465" s="35"/>
      <c r="N465" s="20">
        <f>0.6/0.059</f>
        <v>10.169491525423728</v>
      </c>
      <c r="O465" s="20">
        <f>+SQRT(N465)</f>
        <v>3.188964020716403</v>
      </c>
      <c r="Q465" s="35"/>
    </row>
    <row r="466" spans="3:17" ht="15">
      <c r="C466" s="41">
        <f>0.538/C465</f>
        <v>0.04747058823529412</v>
      </c>
      <c r="D466" s="32"/>
      <c r="G466" s="7" t="s">
        <v>39</v>
      </c>
      <c r="I466" s="15" t="s">
        <v>2</v>
      </c>
      <c r="J466" s="21">
        <f>N466</f>
        <v>6.768750009458537E-11</v>
      </c>
      <c r="K466" s="21"/>
      <c r="N466" s="57">
        <f>10^-N465</f>
        <v>6.768750009458537E-11</v>
      </c>
      <c r="O466" s="21">
        <f>10^-O465</f>
        <v>0.0006471962307337388</v>
      </c>
      <c r="P466" s="21"/>
      <c r="Q466" s="42"/>
    </row>
    <row r="467" spans="1:17" ht="15">
      <c r="A467" s="68" t="s">
        <v>395</v>
      </c>
      <c r="B467" s="42">
        <f>0.0821*673</f>
        <v>55.2533</v>
      </c>
      <c r="G467" s="37">
        <f>+G457/2.5^2</f>
        <v>0.18750000000000003</v>
      </c>
      <c r="I467" s="15" t="s">
        <v>4</v>
      </c>
      <c r="J467" s="21">
        <f>-N466</f>
        <v>-6.768750009458537E-11</v>
      </c>
      <c r="K467" s="21"/>
      <c r="Q467" s="62"/>
    </row>
    <row r="468" spans="1:17" ht="15">
      <c r="A468" s="355" t="s">
        <v>396</v>
      </c>
      <c r="B468" s="58">
        <f>+F462*B457</f>
        <v>14.166666666666666</v>
      </c>
      <c r="E468" s="42"/>
      <c r="G468" s="42">
        <f>+E458*E459^3/E457^2</f>
        <v>0.1875</v>
      </c>
      <c r="I468" s="15" t="s">
        <v>7</v>
      </c>
      <c r="J468" s="21">
        <f>+(J466^2)-4*J465*J467</f>
        <v>1.353750006473305E-12</v>
      </c>
      <c r="K468" s="21"/>
      <c r="Q468" s="42"/>
    </row>
    <row r="469" spans="1:17" ht="15">
      <c r="A469" s="355"/>
      <c r="B469" s="58">
        <f>+F463*B458</f>
        <v>11.666666666666666</v>
      </c>
      <c r="C469" s="41">
        <f>+C470/C465</f>
        <v>0.04524616629233004</v>
      </c>
      <c r="D469" s="38" t="s">
        <v>183</v>
      </c>
      <c r="E469" s="42"/>
      <c r="I469" s="15" t="s">
        <v>6</v>
      </c>
      <c r="J469" s="21">
        <f>+SQRT(J468)</f>
        <v>1.1635076306038156E-06</v>
      </c>
      <c r="K469" s="21"/>
      <c r="L469" s="42"/>
      <c r="M469" s="42"/>
      <c r="N469" s="21"/>
      <c r="Q469" s="32"/>
    </row>
    <row r="470" spans="1:17" ht="15">
      <c r="A470" s="355"/>
      <c r="B470" s="42">
        <f>+F464*B459</f>
        <v>2.5</v>
      </c>
      <c r="C470" s="34">
        <f>+(B468+B469+B470)/B467</f>
        <v>0.5127898846464072</v>
      </c>
      <c r="D470" s="38" t="s">
        <v>397</v>
      </c>
      <c r="E470" s="42"/>
      <c r="I470" s="30" t="s">
        <v>8</v>
      </c>
      <c r="J470" s="52">
        <f>+(-J466+J469)/(2*J465)</f>
        <v>0.0001163439943103721</v>
      </c>
      <c r="K470" s="52"/>
      <c r="Q470" s="42"/>
    </row>
    <row r="471" spans="9:17" ht="15">
      <c r="I471" s="30" t="s">
        <v>9</v>
      </c>
      <c r="J471" s="21">
        <f>+(-J466-J469)/(2*J465)</f>
        <v>-0.00011635753181039102</v>
      </c>
      <c r="K471" s="52"/>
      <c r="Q471" s="42"/>
    </row>
    <row r="472" spans="2:17" ht="19.5" customHeight="1">
      <c r="B472" s="186" t="s">
        <v>386</v>
      </c>
      <c r="C472" s="186" t="s">
        <v>387</v>
      </c>
      <c r="D472" s="186" t="s">
        <v>388</v>
      </c>
      <c r="E472" s="186" t="s">
        <v>389</v>
      </c>
      <c r="K472" s="21"/>
      <c r="N472" s="42"/>
      <c r="Q472" s="21"/>
    </row>
    <row r="473" spans="1:6" ht="19.5" customHeight="1">
      <c r="A473" s="187" t="s">
        <v>390</v>
      </c>
      <c r="B473" s="23">
        <v>52.5</v>
      </c>
      <c r="C473" s="23">
        <v>0</v>
      </c>
      <c r="D473" s="23">
        <v>-393.5</v>
      </c>
      <c r="E473" s="23">
        <v>-285.8</v>
      </c>
      <c r="F473" s="187" t="s">
        <v>309</v>
      </c>
    </row>
    <row r="474" spans="1:17" ht="19.5" customHeight="1">
      <c r="A474" s="187" t="s">
        <v>86</v>
      </c>
      <c r="B474" s="23">
        <v>219.3</v>
      </c>
      <c r="C474" s="23">
        <v>205.1</v>
      </c>
      <c r="D474" s="23">
        <v>213.8</v>
      </c>
      <c r="E474" s="23">
        <v>69.9</v>
      </c>
      <c r="F474" s="187" t="s">
        <v>385</v>
      </c>
      <c r="I474" s="15"/>
      <c r="J474" s="35"/>
      <c r="K474" s="35"/>
      <c r="N474" s="20">
        <v>3.5</v>
      </c>
      <c r="Q474" s="20">
        <v>0.003</v>
      </c>
    </row>
    <row r="475" spans="1:17" ht="19.5" customHeight="1">
      <c r="A475" s="184"/>
      <c r="B475" s="184"/>
      <c r="C475" s="184"/>
      <c r="D475" s="184"/>
      <c r="E475" s="184"/>
      <c r="F475" s="184"/>
      <c r="G475" s="184"/>
      <c r="I475" s="15"/>
      <c r="J475" s="21"/>
      <c r="K475" s="21"/>
      <c r="N475" s="21">
        <f>10^-N474</f>
        <v>0.00031622776601683783</v>
      </c>
      <c r="Q475" s="21">
        <f>+Q474^2/N476</f>
        <v>0.5</v>
      </c>
    </row>
    <row r="476" spans="1:17" ht="19.5" customHeight="1">
      <c r="A476" s="187" t="s">
        <v>391</v>
      </c>
      <c r="B476" s="187">
        <f>+(2*D473+2*E473)-52.5</f>
        <v>-1411.1</v>
      </c>
      <c r="C476" s="187" t="s">
        <v>309</v>
      </c>
      <c r="D476" s="184"/>
      <c r="E476" s="184"/>
      <c r="F476" s="184"/>
      <c r="G476" s="184"/>
      <c r="I476" s="15"/>
      <c r="J476" s="21"/>
      <c r="K476" s="21"/>
      <c r="N476" s="21">
        <v>1.8E-05</v>
      </c>
      <c r="Q476" s="20">
        <f>+SQRT(Q475)</f>
        <v>0.7071067811865476</v>
      </c>
    </row>
    <row r="477" spans="1:14" ht="19.5" customHeight="1">
      <c r="A477" s="336" t="s">
        <v>392</v>
      </c>
      <c r="B477" s="187">
        <f>+(2*D474+2*E474)-(B474+3*C474)</f>
        <v>-267.1999999999998</v>
      </c>
      <c r="C477" s="187" t="s">
        <v>385</v>
      </c>
      <c r="D477" s="184"/>
      <c r="E477" s="184"/>
      <c r="F477" s="184"/>
      <c r="G477" s="184"/>
      <c r="I477" s="15"/>
      <c r="J477" s="21"/>
      <c r="K477" s="21"/>
      <c r="N477" s="21">
        <f>+N475*N476</f>
        <v>5.6920997883030815E-09</v>
      </c>
    </row>
    <row r="478" spans="1:14" ht="19.5" customHeight="1">
      <c r="A478" s="337"/>
      <c r="B478" s="187">
        <f>+B477/1000</f>
        <v>-0.2671999999999998</v>
      </c>
      <c r="C478" s="187" t="s">
        <v>393</v>
      </c>
      <c r="D478" s="185">
        <f>+B478*B479</f>
        <v>-79.62559999999995</v>
      </c>
      <c r="E478" s="184"/>
      <c r="F478" s="184"/>
      <c r="G478" s="184"/>
      <c r="I478" s="15"/>
      <c r="J478" s="21"/>
      <c r="K478" s="21"/>
      <c r="N478" s="21">
        <f>+N475^2</f>
        <v>9.999999999999993E-08</v>
      </c>
    </row>
    <row r="479" spans="1:14" ht="19.5" customHeight="1">
      <c r="A479" s="188" t="s">
        <v>66</v>
      </c>
      <c r="B479" s="187">
        <v>298</v>
      </c>
      <c r="C479" s="187" t="s">
        <v>181</v>
      </c>
      <c r="D479" s="184"/>
      <c r="E479" s="184"/>
      <c r="F479" s="184"/>
      <c r="G479" s="184"/>
      <c r="I479" s="30"/>
      <c r="J479" s="52"/>
      <c r="K479" s="52"/>
      <c r="N479" s="21">
        <f>+N477+N478</f>
        <v>1.0569209978830301E-07</v>
      </c>
    </row>
    <row r="480" spans="1:14" ht="19.5" customHeight="1">
      <c r="A480" s="187" t="s">
        <v>394</v>
      </c>
      <c r="B480" s="189">
        <f>+B476-B479*B478</f>
        <v>-1331.4744</v>
      </c>
      <c r="C480" s="187" t="s">
        <v>309</v>
      </c>
      <c r="D480" s="184"/>
      <c r="E480" s="184"/>
      <c r="F480" s="184"/>
      <c r="G480" s="184"/>
      <c r="I480" s="30"/>
      <c r="J480" s="52"/>
      <c r="K480" s="52"/>
      <c r="N480" s="21"/>
    </row>
    <row r="481" spans="4:14" ht="19.5" customHeight="1">
      <c r="D481" s="184"/>
      <c r="E481" s="184"/>
      <c r="F481" s="184"/>
      <c r="G481" s="184"/>
      <c r="I481" s="30"/>
      <c r="J481" s="21"/>
      <c r="K481" s="21"/>
      <c r="N481" s="21">
        <f>+N479/N476</f>
        <v>0.00587178332157239</v>
      </c>
    </row>
    <row r="482" ht="15">
      <c r="N482" s="21">
        <f>+N481/2</f>
        <v>0.002935891660786195</v>
      </c>
    </row>
    <row r="483" spans="1:14" ht="15">
      <c r="A483" s="20">
        <v>8.92</v>
      </c>
      <c r="B483" s="21">
        <f>+A483*A485*A486</f>
        <v>209646.48883200003</v>
      </c>
      <c r="C483" s="21">
        <f>+B483-B485</f>
        <v>-69782.45337599996</v>
      </c>
      <c r="D483" s="21">
        <f>+C483/C484</f>
        <v>17.20581011840435</v>
      </c>
      <c r="N483" s="35">
        <f>+N482*60.05</f>
        <v>0.17630029423021099</v>
      </c>
    </row>
    <row r="484" spans="1:4" ht="15">
      <c r="A484" s="20">
        <v>65.39</v>
      </c>
      <c r="B484" s="21">
        <f>+A484*A486</f>
        <v>8199.906</v>
      </c>
      <c r="C484" s="21">
        <f>+B484-B486</f>
        <v>-4055.74936</v>
      </c>
      <c r="D484" s="21">
        <f>22.8-D483</f>
        <v>5.59418988159565</v>
      </c>
    </row>
    <row r="485" spans="1:18" ht="15">
      <c r="A485" s="20">
        <v>187.424</v>
      </c>
      <c r="B485" s="21">
        <f>+A487*A484*A485</f>
        <v>279428.942208</v>
      </c>
      <c r="N485" s="42">
        <f>(7.45/327.05)*306.75</f>
        <v>6.987578351933955</v>
      </c>
      <c r="O485" s="20">
        <f>12/32</f>
        <v>0.375</v>
      </c>
      <c r="Q485" s="35">
        <f>8.56/37.997</f>
        <v>0.22528094323236048</v>
      </c>
      <c r="R485" s="20">
        <f>+Q485*2</f>
        <v>0.45056188646472095</v>
      </c>
    </row>
    <row r="486" spans="1:17" ht="15">
      <c r="A486" s="20">
        <v>125.4</v>
      </c>
      <c r="B486" s="21">
        <f>+A484*A485</f>
        <v>12255.65536</v>
      </c>
      <c r="O486" s="42">
        <f>+O485*0.082*411.15/2.656</f>
        <v>4.760113893072289</v>
      </c>
      <c r="P486" s="42"/>
      <c r="Q486" s="42">
        <f>4815/760</f>
        <v>6.3355263157894735</v>
      </c>
    </row>
    <row r="487" spans="1:17" ht="15">
      <c r="A487" s="20">
        <v>22.8</v>
      </c>
      <c r="B487" s="21"/>
      <c r="N487" s="20">
        <f>7.45/273.15</f>
        <v>0.02727439136005858</v>
      </c>
      <c r="Q487" s="42">
        <f>+Q485*0.082*388.15/Q486</f>
        <v>1.1317622385393</v>
      </c>
    </row>
    <row r="488" ht="15">
      <c r="N488" s="20">
        <f>25.5/306.75</f>
        <v>0.08312958435207823</v>
      </c>
    </row>
    <row r="490" spans="1:14" ht="15">
      <c r="A490" s="20">
        <f>1-0.43</f>
        <v>0.5700000000000001</v>
      </c>
      <c r="B490" s="42">
        <f>0.43*2.1</f>
        <v>0.903</v>
      </c>
      <c r="C490" s="20">
        <f>+B490/0.0821/533</f>
        <v>0.02063561345816775</v>
      </c>
      <c r="I490" s="21">
        <f>10^-3.5</f>
        <v>0.00031622776601683783</v>
      </c>
      <c r="J490" s="21">
        <f>+I490/2</f>
        <v>0.00015811388300841892</v>
      </c>
      <c r="K490" s="21"/>
      <c r="L490" s="20">
        <v>0.7</v>
      </c>
      <c r="N490" s="20">
        <f>+I490*L490/I491</f>
        <v>70.00000000000003</v>
      </c>
    </row>
    <row r="491" spans="1:12" ht="15">
      <c r="A491" s="42">
        <f>+A490/2</f>
        <v>0.28500000000000003</v>
      </c>
      <c r="B491" s="42">
        <f>+A491*2.1</f>
        <v>0.5985000000000001</v>
      </c>
      <c r="I491" s="21">
        <f>10^-5.5</f>
        <v>3.1622776601683767E-06</v>
      </c>
      <c r="J491" s="21">
        <f>+I491/2</f>
        <v>1.5811388300841883E-06</v>
      </c>
      <c r="K491" s="21"/>
      <c r="L491" s="20">
        <f>+J490*L490/J491</f>
        <v>70.00000000000003</v>
      </c>
    </row>
    <row r="492" spans="9:12" ht="15">
      <c r="I492" s="20">
        <v>55.5</v>
      </c>
      <c r="L492" s="20">
        <f>+L491-L490</f>
        <v>69.30000000000003</v>
      </c>
    </row>
    <row r="493" spans="9:11" ht="15">
      <c r="I493" s="21">
        <f>+I490*0.7</f>
        <v>0.00022135943621178647</v>
      </c>
      <c r="J493" s="21"/>
      <c r="K493" s="21"/>
    </row>
    <row r="494" spans="1:9" ht="15">
      <c r="A494" s="35">
        <f>0.041*5</f>
        <v>0.20500000000000002</v>
      </c>
      <c r="B494" s="15" t="s">
        <v>0</v>
      </c>
      <c r="C494" s="35">
        <v>1</v>
      </c>
      <c r="I494" s="21">
        <f>+I491*0.7</f>
        <v>2.2135943621178633E-06</v>
      </c>
    </row>
    <row r="495" spans="2:9" ht="15">
      <c r="B495" s="15" t="s">
        <v>2</v>
      </c>
      <c r="C495" s="21">
        <f>A494</f>
        <v>0.20500000000000002</v>
      </c>
      <c r="I495" s="21">
        <f>+I492-I494</f>
        <v>55.499997786405636</v>
      </c>
    </row>
    <row r="496" spans="2:9" ht="15">
      <c r="B496" s="15" t="s">
        <v>4</v>
      </c>
      <c r="C496" s="21">
        <f>-A494</f>
        <v>-0.20500000000000002</v>
      </c>
      <c r="I496" s="21">
        <f>+I493+I494</f>
        <v>0.00022357303057390432</v>
      </c>
    </row>
    <row r="497" spans="2:9" ht="15">
      <c r="B497" s="15" t="s">
        <v>7</v>
      </c>
      <c r="C497" s="21">
        <f>+(C495^2)-4*C494*C496</f>
        <v>0.862025</v>
      </c>
      <c r="I497" s="21">
        <f>+I496/I495</f>
        <v>4.028343053892285E-06</v>
      </c>
    </row>
    <row r="498" spans="2:3" ht="15">
      <c r="B498" s="15" t="s">
        <v>6</v>
      </c>
      <c r="C498" s="21">
        <f>+SQRT(C497)</f>
        <v>0.9284530144277631</v>
      </c>
    </row>
    <row r="499" spans="2:17" ht="15">
      <c r="B499" s="30" t="s">
        <v>8</v>
      </c>
      <c r="C499" s="52">
        <f>+(-C495+C498)/(2*C494)</f>
        <v>0.36172650721388155</v>
      </c>
      <c r="D499" s="57">
        <f>1-C499</f>
        <v>0.6382734927861184</v>
      </c>
      <c r="E499" s="20">
        <f>+D499/5</f>
        <v>0.1276546985572237</v>
      </c>
      <c r="F499" s="20">
        <f>+E500*E500/E499</f>
        <v>0.04100000000000001</v>
      </c>
      <c r="I499" s="15" t="s">
        <v>0</v>
      </c>
      <c r="J499" s="35">
        <v>1</v>
      </c>
      <c r="K499" s="35"/>
      <c r="N499" s="21">
        <f>0.224/0.082/273</f>
        <v>0.010006253908692933</v>
      </c>
      <c r="O499" s="21">
        <f>+N499/2</f>
        <v>0.0050031269543464665</v>
      </c>
      <c r="P499" s="21"/>
      <c r="Q499" s="21">
        <v>0.0025</v>
      </c>
    </row>
    <row r="500" spans="2:17" ht="15">
      <c r="B500" s="30" t="s">
        <v>9</v>
      </c>
      <c r="C500" s="57">
        <f>+(-C495-C498)/(2*C494)</f>
        <v>-0.5667265072138815</v>
      </c>
      <c r="E500" s="20">
        <f>+C499/5</f>
        <v>0.07234530144277632</v>
      </c>
      <c r="I500" s="15" t="s">
        <v>2</v>
      </c>
      <c r="J500" s="21">
        <f>+Q499+O499</f>
        <v>0.007503126954346467</v>
      </c>
      <c r="K500" s="21"/>
      <c r="N500" s="21">
        <f>6.8/68.5</f>
        <v>0.09927007299270073</v>
      </c>
      <c r="O500" s="21">
        <f>+N500/2</f>
        <v>0.049635036496350364</v>
      </c>
      <c r="P500" s="21"/>
      <c r="Q500" s="21">
        <f>+O500*Q499</f>
        <v>0.0001240875912408759</v>
      </c>
    </row>
    <row r="501" spans="9:11" ht="15">
      <c r="I501" s="15" t="s">
        <v>4</v>
      </c>
      <c r="J501" s="21">
        <f>+-Q500</f>
        <v>-0.0001240875912408759</v>
      </c>
      <c r="K501" s="21"/>
    </row>
    <row r="502" spans="9:17" ht="15">
      <c r="I502" s="15" t="s">
        <v>7</v>
      </c>
      <c r="J502" s="21">
        <f>+(J500^2)-4*J499*J501</f>
        <v>0.0005526472790565441</v>
      </c>
      <c r="K502" s="21"/>
      <c r="O502" s="57">
        <f>+O499+J504</f>
        <v>0.013005789090293648</v>
      </c>
      <c r="P502" s="57"/>
      <c r="Q502" s="44">
        <f>+-LOG10(O502)</f>
        <v>1.8858632930518124</v>
      </c>
    </row>
    <row r="503" spans="1:11" ht="15">
      <c r="A503" s="122">
        <f>+(34/5)*(34*4/5)^4</f>
        <v>3722069.934079999</v>
      </c>
      <c r="B503" s="38" t="s">
        <v>33</v>
      </c>
      <c r="I503" s="15" t="s">
        <v>6</v>
      </c>
      <c r="J503" s="21">
        <f>+SQRT(J502)</f>
        <v>0.02350845122624083</v>
      </c>
      <c r="K503" s="21"/>
    </row>
    <row r="504" spans="1:11" ht="15">
      <c r="A504" s="122">
        <f>+A503/(0.0821*573)^5</f>
        <v>0.016154578588438138</v>
      </c>
      <c r="B504" s="38" t="s">
        <v>29</v>
      </c>
      <c r="I504" s="30" t="s">
        <v>8</v>
      </c>
      <c r="J504" s="50">
        <f>+(-J500+J503)/(2*J499)</f>
        <v>0.008002662135947181</v>
      </c>
      <c r="K504" s="50"/>
    </row>
    <row r="505" spans="1:11" ht="15">
      <c r="A505" s="122">
        <f>+A503/34^5</f>
        <v>0.08191999999999998</v>
      </c>
      <c r="B505" s="38" t="s">
        <v>39</v>
      </c>
      <c r="C505" s="21">
        <f>0.2*0.8^4</f>
        <v>0.08192000000000005</v>
      </c>
      <c r="I505" s="30" t="s">
        <v>9</v>
      </c>
      <c r="J505" s="21">
        <f>+(-J500-J503)/(2*J499)</f>
        <v>-0.01550578909029365</v>
      </c>
      <c r="K505" s="21"/>
    </row>
    <row r="506" ht="15">
      <c r="C506" s="21">
        <f>0.3*0.7^4</f>
        <v>0.07202999999999997</v>
      </c>
    </row>
    <row r="507" spans="1:14" ht="15">
      <c r="A507" s="32">
        <f>0.8/0.0821/293</f>
        <v>0.03325670434374129</v>
      </c>
      <c r="C507" s="21">
        <f>0.4*0.6^4</f>
        <v>0.05184</v>
      </c>
      <c r="I507" s="15" t="s">
        <v>0</v>
      </c>
      <c r="J507" s="35">
        <v>1</v>
      </c>
      <c r="K507" s="35"/>
      <c r="N507" s="20">
        <f>0.00000000000001/0.00043</f>
        <v>2.3255813953488374E-11</v>
      </c>
    </row>
    <row r="508" spans="1:14" ht="15">
      <c r="A508" s="20">
        <f>+A507*256</f>
        <v>8.51371631199777</v>
      </c>
      <c r="C508" s="21">
        <f>0.1*0.9^4</f>
        <v>0.06561000000000002</v>
      </c>
      <c r="I508" s="15" t="s">
        <v>2</v>
      </c>
      <c r="J508" s="21">
        <f>+N507</f>
        <v>2.3255813953488374E-11</v>
      </c>
      <c r="K508" s="21"/>
      <c r="N508" s="32">
        <f>0.1121*0.125/0.2321</f>
        <v>0.060372684187850065</v>
      </c>
    </row>
    <row r="509" spans="1:14" ht="15">
      <c r="A509" s="46">
        <f>-A508+A504</f>
        <v>-8.497561733409333</v>
      </c>
      <c r="I509" s="15" t="s">
        <v>4</v>
      </c>
      <c r="J509" s="21">
        <f>-N509</f>
        <v>-1.4040159113453503E-12</v>
      </c>
      <c r="K509" s="21"/>
      <c r="N509" s="20">
        <f>+N507*N508</f>
        <v>1.4040159113453503E-12</v>
      </c>
    </row>
    <row r="510" spans="1:11" ht="15">
      <c r="A510" s="20">
        <f>+A509/256</f>
        <v>-0.033193600521130205</v>
      </c>
      <c r="B510" s="20">
        <f>+A510^4</f>
        <v>1.2139965488685087E-06</v>
      </c>
      <c r="C510" s="20">
        <f>+A508*B510</f>
        <v>1.0335622220810822E-05</v>
      </c>
      <c r="D510" s="21">
        <f>+A504-C510</f>
        <v>0.016144242966217328</v>
      </c>
      <c r="E510" s="32">
        <f>+A507+D511</f>
        <v>6.134819603944299</v>
      </c>
      <c r="F510" s="20">
        <f>+E510/E511^4</f>
        <v>1.729009823278633E-05</v>
      </c>
      <c r="I510" s="15" t="s">
        <v>7</v>
      </c>
      <c r="J510" s="21">
        <f>+(J508^2)-4*J507*J509</f>
        <v>5.6160636459222345E-12</v>
      </c>
      <c r="K510" s="21"/>
    </row>
    <row r="511" spans="3:11" ht="15">
      <c r="C511" s="20">
        <f>256*C510</f>
        <v>0.0026459192885275704</v>
      </c>
      <c r="D511" s="20">
        <f>+D510/C511</f>
        <v>6.101562899600558</v>
      </c>
      <c r="E511" s="20">
        <f>4*D511</f>
        <v>24.406251598402232</v>
      </c>
      <c r="I511" s="15" t="s">
        <v>6</v>
      </c>
      <c r="J511" s="21">
        <f>+SQRT(J510)</f>
        <v>2.369823547423359E-06</v>
      </c>
      <c r="K511" s="21"/>
    </row>
    <row r="512" spans="9:14" ht="15">
      <c r="I512" s="30" t="s">
        <v>8</v>
      </c>
      <c r="J512" s="50">
        <f>+(-J508+J511)/(2*J507)</f>
        <v>1.1849001458047028E-06</v>
      </c>
      <c r="K512" s="50"/>
      <c r="L512" s="44">
        <f>+-LOG10(J512)</f>
        <v>5.926318247082773</v>
      </c>
      <c r="M512" s="44"/>
      <c r="N512" s="42">
        <f>14-L512</f>
        <v>8.073681752917228</v>
      </c>
    </row>
    <row r="513" spans="1:11" ht="15">
      <c r="A513" s="20">
        <f>+LOG10(0.1*(0.001^6)/0.2)</f>
        <v>-18.30102999566398</v>
      </c>
      <c r="D513" s="42">
        <f>35/22.414</f>
        <v>1.561524047470331</v>
      </c>
      <c r="E513" s="42">
        <f>+D513/2</f>
        <v>0.7807620237351655</v>
      </c>
      <c r="F513" s="60">
        <f>-484*D513/2</f>
        <v>-377.88881948782006</v>
      </c>
      <c r="I513" s="30" t="s">
        <v>9</v>
      </c>
      <c r="J513" s="21">
        <f>+(-J508-J511)/(2*J507)</f>
        <v>-1.1849234016186563E-06</v>
      </c>
      <c r="K513" s="21"/>
    </row>
    <row r="514" spans="1:5" ht="15">
      <c r="A514" s="35">
        <f>1.085+0.0592/6*A513</f>
        <v>0.9044298373761153</v>
      </c>
      <c r="B514" s="20" t="s">
        <v>23</v>
      </c>
      <c r="D514" s="42">
        <f>83/22.414</f>
        <v>3.7030427411439275</v>
      </c>
      <c r="E514" s="42">
        <f>+D514-E513</f>
        <v>2.922280717408762</v>
      </c>
    </row>
    <row r="515" spans="1:20" ht="15">
      <c r="A515" s="35">
        <f>-0.1262+0.0592/2*LOG10((0.0000000000000012/4)^(1/3))</f>
        <v>-0.279359070286766</v>
      </c>
      <c r="B515" s="20" t="s">
        <v>24</v>
      </c>
      <c r="R515" s="7" t="s">
        <v>29</v>
      </c>
      <c r="S515" s="7" t="s">
        <v>33</v>
      </c>
      <c r="T515" s="7" t="s">
        <v>11</v>
      </c>
    </row>
    <row r="516" spans="1:20" ht="15">
      <c r="A516" s="35">
        <f>+A514-A515</f>
        <v>1.1837889076628811</v>
      </c>
      <c r="I516" s="15"/>
      <c r="J516" s="35"/>
      <c r="K516" s="35"/>
      <c r="N516" s="21">
        <f>0.035-(2/(0.082*803))</f>
        <v>0.004626097257236589</v>
      </c>
      <c r="O516" s="68" t="s">
        <v>65</v>
      </c>
      <c r="P516" s="68"/>
      <c r="Q516" s="21">
        <f>0.015-$N$516</f>
        <v>0.01037390274276341</v>
      </c>
      <c r="R516" s="21">
        <f>+Q518/(Q516*Q517)</f>
        <v>29.00604106865469</v>
      </c>
      <c r="S516" s="21">
        <f>+R516*(0.082*803)^-1</f>
        <v>0.4405133351859594</v>
      </c>
      <c r="T516" s="21">
        <f>+Q516/$Q$519</f>
        <v>0.34153999999999984</v>
      </c>
    </row>
    <row r="517" spans="1:20" ht="15">
      <c r="A517" s="20">
        <f>0.0000000000000012/0.15^2</f>
        <v>5.333333333333333E-14</v>
      </c>
      <c r="I517" s="15"/>
      <c r="J517" s="21"/>
      <c r="K517" s="21"/>
      <c r="N517" s="57"/>
      <c r="O517" s="68" t="s">
        <v>54</v>
      </c>
      <c r="P517" s="68"/>
      <c r="Q517" s="21">
        <f>0.02-$N$516</f>
        <v>0.015373902742763412</v>
      </c>
      <c r="T517" s="21">
        <f>+Q517/$Q$519</f>
        <v>0.5061549999999999</v>
      </c>
    </row>
    <row r="518" spans="1:20" ht="15">
      <c r="A518" s="35">
        <f>-0.1262+0.0592/2*LOG10(A517)</f>
        <v>-0.5190808376530867</v>
      </c>
      <c r="B518" s="20" t="s">
        <v>24</v>
      </c>
      <c r="I518" s="15"/>
      <c r="J518" s="21"/>
      <c r="K518" s="21"/>
      <c r="N518" s="57"/>
      <c r="O518" s="68" t="s">
        <v>77</v>
      </c>
      <c r="P518" s="68"/>
      <c r="Q518" s="21">
        <f>N516</f>
        <v>0.004626097257236589</v>
      </c>
      <c r="T518" s="21">
        <f>+Q518/$Q$519</f>
        <v>0.15230500000000025</v>
      </c>
    </row>
    <row r="519" spans="1:20" ht="15">
      <c r="A519" s="35">
        <f>+A514-A518</f>
        <v>1.423510675029202</v>
      </c>
      <c r="I519" s="15"/>
      <c r="J519" s="21"/>
      <c r="K519" s="21"/>
      <c r="Q519" s="21">
        <f>+SUM(Q516:Q518)</f>
        <v>0.03037390274276341</v>
      </c>
      <c r="T519" s="21">
        <f>+Q519/$Q$519</f>
        <v>1</v>
      </c>
    </row>
    <row r="520" spans="9:11" ht="15">
      <c r="I520" s="15"/>
      <c r="J520" s="21"/>
      <c r="K520" s="21"/>
    </row>
    <row r="521" spans="9:11" ht="15">
      <c r="I521" s="30"/>
      <c r="J521" s="74"/>
      <c r="K521" s="74"/>
    </row>
    <row r="522" spans="1:11" ht="15">
      <c r="A522" s="21">
        <v>0.00067</v>
      </c>
      <c r="B522" s="21">
        <f>+A522*A523</f>
        <v>0.0001005</v>
      </c>
      <c r="C522" s="35">
        <v>1</v>
      </c>
      <c r="E522" s="20">
        <f>0.028/56</f>
        <v>0.0005</v>
      </c>
      <c r="I522" s="30"/>
      <c r="J522" s="21"/>
      <c r="K522" s="21"/>
    </row>
    <row r="523" spans="1:18" ht="15">
      <c r="A523" s="20">
        <v>0.15</v>
      </c>
      <c r="C523" s="21">
        <f>A522</f>
        <v>0.00067</v>
      </c>
      <c r="E523" s="42">
        <f>10^-3.5/0.00067</f>
        <v>0.47198174032363854</v>
      </c>
      <c r="I523" s="15" t="s">
        <v>0</v>
      </c>
      <c r="J523" s="35">
        <v>1</v>
      </c>
      <c r="K523" s="35"/>
      <c r="N523" s="21">
        <f>10^-8.2</f>
        <v>6.309573444801933E-09</v>
      </c>
      <c r="Q523" s="21">
        <v>0.02</v>
      </c>
      <c r="R523" s="75">
        <f>+-LOG10(Q523)</f>
        <v>1.6989700043360187</v>
      </c>
    </row>
    <row r="524" spans="3:14" ht="15">
      <c r="C524" s="21">
        <f>-B522</f>
        <v>-0.0001005</v>
      </c>
      <c r="E524" s="20">
        <f>+E523*0.0025</f>
        <v>0.0011799543508090964</v>
      </c>
      <c r="I524" s="15" t="s">
        <v>2</v>
      </c>
      <c r="J524" s="21">
        <f>N525</f>
        <v>0.020000006309573444</v>
      </c>
      <c r="K524" s="21"/>
      <c r="N524" s="21">
        <f>+N523*0.06</f>
        <v>3.78574406688116E-10</v>
      </c>
    </row>
    <row r="525" spans="1:14" ht="15">
      <c r="A525" s="20">
        <f>+SQRT(A523*A522)</f>
        <v>0.010024968827881712</v>
      </c>
      <c r="B525" s="58">
        <f>-LOG10(A525)</f>
        <v>1.998916969121746</v>
      </c>
      <c r="C525" s="21">
        <f>+(C523^2)-4*C522*C524</f>
        <v>0.0004024489</v>
      </c>
      <c r="E525" s="20">
        <f>+E524+0.0025</f>
        <v>0.0036799543508090962</v>
      </c>
      <c r="I525" s="15" t="s">
        <v>4</v>
      </c>
      <c r="J525" s="21">
        <f>-N524</f>
        <v>-3.78574406688116E-10</v>
      </c>
      <c r="K525" s="21"/>
      <c r="N525" s="21">
        <f>0.02+N523</f>
        <v>0.020000006309573444</v>
      </c>
    </row>
    <row r="526" spans="3:11" ht="15">
      <c r="C526" s="21">
        <f>+SQRT(C525)</f>
        <v>0.02006112908088675</v>
      </c>
      <c r="E526" s="20">
        <f>+E525-0.0025</f>
        <v>0.0011799543508090962</v>
      </c>
      <c r="I526" s="15" t="s">
        <v>7</v>
      </c>
      <c r="J526" s="21">
        <f>+(J524^2)-4*J523*J525</f>
        <v>0.0004000017666806043</v>
      </c>
      <c r="K526" s="21"/>
    </row>
    <row r="527" spans="3:11" ht="15">
      <c r="C527" s="52">
        <f>+(-C523+C526)/(2*C522)</f>
        <v>0.009695564540443374</v>
      </c>
      <c r="D527" s="58">
        <f>-LOG10(C527)</f>
        <v>2.013426898327275</v>
      </c>
      <c r="E527" s="31">
        <f>+E526-E522</f>
        <v>0.0006799543508090962</v>
      </c>
      <c r="I527" s="15" t="s">
        <v>6</v>
      </c>
      <c r="J527" s="21">
        <f>+SQRT(J526)</f>
        <v>0.020000044166966338</v>
      </c>
      <c r="K527" s="21"/>
    </row>
    <row r="528" spans="3:14" ht="15">
      <c r="C528" s="21">
        <f>+(-C523-C526)/(2*C522)</f>
        <v>-0.010365564540443375</v>
      </c>
      <c r="E528" s="32">
        <f>0.0025+E522</f>
        <v>0.003</v>
      </c>
      <c r="I528" s="30" t="s">
        <v>8</v>
      </c>
      <c r="J528" s="50">
        <f>+(-J524+J527)/(2*J523)</f>
        <v>1.8928696447068072E-08</v>
      </c>
      <c r="K528" s="50"/>
      <c r="L528" s="50">
        <f>+J528+0.02</f>
        <v>0.020000018928696447</v>
      </c>
      <c r="M528" s="50"/>
      <c r="N528" s="75">
        <f>+-LOG10(L528)</f>
        <v>1.6989695933047926</v>
      </c>
    </row>
    <row r="529" spans="5:11" ht="15">
      <c r="E529" s="20">
        <f>+A522*E527/E528</f>
        <v>0.00015185647168069815</v>
      </c>
      <c r="F529" s="42">
        <f>-LOG10(E529)</f>
        <v>3.8185666949849333</v>
      </c>
      <c r="I529" s="30" t="s">
        <v>9</v>
      </c>
      <c r="J529" s="21">
        <f>+(-J524-J527)/(2*J523)</f>
        <v>-0.02000002523826989</v>
      </c>
      <c r="K529" s="21"/>
    </row>
    <row r="531" ht="15">
      <c r="E531" s="20">
        <f>1.05*6/100</f>
        <v>0.063</v>
      </c>
    </row>
    <row r="532" spans="5:18" ht="15">
      <c r="E532" s="20">
        <f>+E531/63</f>
        <v>0.001</v>
      </c>
      <c r="I532" s="15" t="s">
        <v>0</v>
      </c>
      <c r="J532" s="35">
        <v>1</v>
      </c>
      <c r="K532" s="35"/>
      <c r="N532" s="21">
        <f>+(0.0000000000493/4)^(1/3)</f>
        <v>0.00023099131043067146</v>
      </c>
      <c r="O532" s="21">
        <f>+SQRT(N534*N533)</f>
        <v>8.303772033197017E-08</v>
      </c>
      <c r="P532" s="21"/>
      <c r="Q532" s="44">
        <f>+-LOG10(O532)</f>
        <v>7.080724582193545</v>
      </c>
      <c r="R532" s="42">
        <f>14-Q532</f>
        <v>6.919275417806455</v>
      </c>
    </row>
    <row r="533" spans="5:14" ht="15">
      <c r="E533" s="31">
        <f>+E527+E532</f>
        <v>0.0016799543508090962</v>
      </c>
      <c r="I533" s="15" t="s">
        <v>2</v>
      </c>
      <c r="J533" s="21">
        <f>N534</f>
        <v>1.492537313432836E-11</v>
      </c>
      <c r="K533" s="21"/>
      <c r="N533" s="21">
        <f>+N532*2</f>
        <v>0.0004619826208613429</v>
      </c>
    </row>
    <row r="534" spans="5:14" ht="15">
      <c r="E534" s="32">
        <f>+E528-E532</f>
        <v>0.002</v>
      </c>
      <c r="I534" s="15" t="s">
        <v>4</v>
      </c>
      <c r="J534" s="21">
        <f>-N535</f>
        <v>-6.8952629979304915E-15</v>
      </c>
      <c r="K534" s="21"/>
      <c r="N534" s="21">
        <f>0.00000000000001/0.00067</f>
        <v>1.492537313432836E-11</v>
      </c>
    </row>
    <row r="535" spans="5:14" ht="15">
      <c r="E535" s="20">
        <f>+A522*E533/E534</f>
        <v>0.0005627847075210473</v>
      </c>
      <c r="F535" s="42">
        <f>-LOG10(E535)</f>
        <v>3.249657712106973</v>
      </c>
      <c r="I535" s="15" t="s">
        <v>7</v>
      </c>
      <c r="J535" s="21">
        <f>+(J533^2)-4*J532*J534</f>
        <v>2.7581052214488728E-14</v>
      </c>
      <c r="K535" s="21"/>
      <c r="N535" s="21">
        <f>+N534*N533</f>
        <v>6.8952629979304915E-15</v>
      </c>
    </row>
    <row r="536" spans="9:18" ht="15">
      <c r="I536" s="15" t="s">
        <v>6</v>
      </c>
      <c r="J536" s="21">
        <f>+SQRT(J535)</f>
        <v>1.6607544133461975E-07</v>
      </c>
      <c r="K536" s="21"/>
      <c r="Q536" s="21">
        <f>+N532*4</f>
        <v>0.0009239652417226858</v>
      </c>
      <c r="R536" s="21">
        <f>+Q536+Q537</f>
        <v>0.0013859478625840287</v>
      </c>
    </row>
    <row r="537" spans="9:18" ht="15">
      <c r="I537" s="30" t="s">
        <v>8</v>
      </c>
      <c r="J537" s="50">
        <f>+(-J533+J536)/(2*J532)</f>
        <v>8.303025798074271E-08</v>
      </c>
      <c r="K537" s="50"/>
      <c r="L537" s="44">
        <f>+-LOG10(J537)</f>
        <v>7.080763612691721</v>
      </c>
      <c r="M537" s="44"/>
      <c r="N537" s="42">
        <f>14-L537</f>
        <v>6.919236387308279</v>
      </c>
      <c r="Q537" s="21">
        <f>+N533</f>
        <v>0.0004619826208613429</v>
      </c>
      <c r="R537" s="21">
        <f>+R536/2</f>
        <v>0.0006929739312920144</v>
      </c>
    </row>
    <row r="538" spans="1:17" ht="15">
      <c r="A538" s="190" t="s">
        <v>87</v>
      </c>
      <c r="B538" s="35">
        <f>10/22.414</f>
        <v>0.44614972784866597</v>
      </c>
      <c r="C538" s="35">
        <f>+B538/4</f>
        <v>0.11153743196216649</v>
      </c>
      <c r="E538" s="35">
        <f>+B538*4/5</f>
        <v>0.3569197822789328</v>
      </c>
      <c r="F538" s="35">
        <f>+B538-E538</f>
        <v>0.08922994556973318</v>
      </c>
      <c r="G538" s="35">
        <f>+F538*22.414</f>
        <v>1.9999999999999998</v>
      </c>
      <c r="I538" s="30" t="s">
        <v>9</v>
      </c>
      <c r="J538" s="21">
        <f>+(-J533-J536)/(2*J532)</f>
        <v>-8.304518335387704E-08</v>
      </c>
      <c r="K538" s="21"/>
      <c r="Q538" s="21">
        <v>0.01</v>
      </c>
    </row>
    <row r="539" spans="1:17" ht="15">
      <c r="A539" s="190" t="s">
        <v>28</v>
      </c>
      <c r="B539" s="35">
        <f>10/22.414</f>
        <v>0.44614972784866597</v>
      </c>
      <c r="C539" s="32">
        <f>+B539/5</f>
        <v>0.0892299455697332</v>
      </c>
      <c r="D539" s="20" t="s">
        <v>398</v>
      </c>
      <c r="E539" s="42">
        <f>+E538*22.414</f>
        <v>8</v>
      </c>
      <c r="Q539" s="21">
        <v>0.01</v>
      </c>
    </row>
    <row r="540" ht="15">
      <c r="Q540" s="21">
        <f>+Q536+Q537+Q538+Q539</f>
        <v>0.021385947862584027</v>
      </c>
    </row>
    <row r="541" spans="5:18" ht="15">
      <c r="E541" s="35">
        <f>+B538*6/5</f>
        <v>0.5353796734183992</v>
      </c>
      <c r="F541" s="35">
        <f>+E541*22.414</f>
        <v>12</v>
      </c>
      <c r="Q541" s="21">
        <f>+Q540/2</f>
        <v>0.010692973931292014</v>
      </c>
      <c r="R541" s="21">
        <f>+Q541/R537</f>
        <v>15.430557266931402</v>
      </c>
    </row>
    <row r="543" spans="9:19" ht="15">
      <c r="I543" s="15" t="s">
        <v>0</v>
      </c>
      <c r="J543" s="35">
        <v>1</v>
      </c>
      <c r="K543" s="35"/>
      <c r="O543" s="20">
        <f>0.67*1.8^2</f>
        <v>2.1708000000000003</v>
      </c>
      <c r="Q543" s="21">
        <f>+SQRT(N534*O546)</f>
        <v>9.194231774453087E-08</v>
      </c>
      <c r="R543" s="44">
        <f>+-LOG10(Q543)</f>
        <v>7.03648455245679</v>
      </c>
      <c r="S543" s="42">
        <f>14-R543</f>
        <v>6.96351544754321</v>
      </c>
    </row>
    <row r="544" spans="1:16" ht="15">
      <c r="A544" s="7" t="s">
        <v>399</v>
      </c>
      <c r="B544" s="7" t="s">
        <v>308</v>
      </c>
      <c r="C544" s="7" t="s">
        <v>400</v>
      </c>
      <c r="D544" s="7" t="s">
        <v>401</v>
      </c>
      <c r="I544" s="15" t="s">
        <v>2</v>
      </c>
      <c r="J544" s="21">
        <f>+N534+0.0000001</f>
        <v>1.0001492537313432E-07</v>
      </c>
      <c r="K544" s="21"/>
      <c r="O544" s="21">
        <v>4.93E-11</v>
      </c>
      <c r="P544" s="21"/>
    </row>
    <row r="545" spans="1:16" ht="15">
      <c r="A545" s="20">
        <v>-42.59</v>
      </c>
      <c r="C545" s="20">
        <v>-196.98</v>
      </c>
      <c r="D545" s="20">
        <v>-70.94</v>
      </c>
      <c r="E545" s="20">
        <f>+(D545*4+C545)-(2*A545)</f>
        <v>-395.56</v>
      </c>
      <c r="F545" s="20" t="s">
        <v>403</v>
      </c>
      <c r="I545" s="15" t="s">
        <v>4</v>
      </c>
      <c r="J545" s="21">
        <f>-+N534*O546</f>
        <v>-8.453389792236277E-15</v>
      </c>
      <c r="K545" s="21"/>
      <c r="O545" s="21">
        <f>+(O544/O543)^(1/3)</f>
        <v>0.00028318855803991525</v>
      </c>
      <c r="P545" s="21"/>
    </row>
    <row r="546" spans="5:16" ht="15">
      <c r="E546" s="54">
        <f>+E545/2</f>
        <v>-197.78</v>
      </c>
      <c r="F546" s="20" t="s">
        <v>402</v>
      </c>
      <c r="G546" s="21">
        <f>+E546*4.1858</f>
        <v>-827.8675240000001</v>
      </c>
      <c r="I546" s="15" t="s">
        <v>7</v>
      </c>
      <c r="J546" s="21">
        <f>+(J544^2)-4*J543*J545</f>
        <v>4.3816544466338734E-14</v>
      </c>
      <c r="K546" s="21"/>
      <c r="O546" s="21">
        <f>+O545*2</f>
        <v>0.0005663771160798305</v>
      </c>
      <c r="P546" s="21"/>
    </row>
    <row r="547" spans="1:11" ht="15">
      <c r="A547" s="21">
        <v>800000</v>
      </c>
      <c r="B547" s="21">
        <v>8E-05</v>
      </c>
      <c r="E547" s="46">
        <f>+E546*A548</f>
        <v>-1318753.1255209201</v>
      </c>
      <c r="F547" s="20" t="s">
        <v>225</v>
      </c>
      <c r="G547" s="21">
        <f>+E547*4.1858</f>
        <v>-5520036.832805468</v>
      </c>
      <c r="I547" s="15" t="s">
        <v>6</v>
      </c>
      <c r="J547" s="21">
        <f>+SQRT(J546)</f>
        <v>2.0932401789173343E-07</v>
      </c>
      <c r="K547" s="21"/>
    </row>
    <row r="548" spans="1:16" ht="15">
      <c r="A548" s="20">
        <f>+A547/119.98</f>
        <v>6667.777962993832</v>
      </c>
      <c r="B548" s="20">
        <f>+B547*119.98</f>
        <v>0.009598400000000002</v>
      </c>
      <c r="I548" s="30" t="s">
        <v>8</v>
      </c>
      <c r="J548" s="50">
        <f>+(-J544+J547)/(2*J543)</f>
        <v>5.465454625929955E-08</v>
      </c>
      <c r="K548" s="50"/>
      <c r="L548" s="21">
        <f>+J548+0.0000001</f>
        <v>1.5465454625929955E-07</v>
      </c>
      <c r="M548" s="21"/>
      <c r="N548" s="44">
        <f>+-LOG10(L548)</f>
        <v>6.8106373088563625</v>
      </c>
      <c r="O548" s="42">
        <f>14-N548</f>
        <v>7.1893626911436375</v>
      </c>
      <c r="P548" s="42"/>
    </row>
    <row r="549" spans="1:11" ht="15">
      <c r="A549" s="20">
        <f>+A548/1000</f>
        <v>6.667777962993832</v>
      </c>
      <c r="B549" s="20">
        <f>+B548/1000</f>
        <v>9.598400000000001E-06</v>
      </c>
      <c r="I549" s="30" t="s">
        <v>9</v>
      </c>
      <c r="J549" s="21">
        <f>+(-J544-J547)/(2*J543)</f>
        <v>-1.5466947163243388E-07</v>
      </c>
      <c r="K549" s="21"/>
    </row>
    <row r="551" spans="1:11" ht="15">
      <c r="A551" s="7" t="s">
        <v>399</v>
      </c>
      <c r="B551" s="7" t="s">
        <v>308</v>
      </c>
      <c r="C551" s="7" t="s">
        <v>400</v>
      </c>
      <c r="D551" s="7" t="s">
        <v>401</v>
      </c>
      <c r="I551" s="15" t="s">
        <v>0</v>
      </c>
      <c r="J551" s="35">
        <v>1</v>
      </c>
      <c r="K551" s="35"/>
    </row>
    <row r="552" spans="1:11" ht="15">
      <c r="A552" s="20">
        <v>-42.59</v>
      </c>
      <c r="C552" s="20">
        <v>-196.98</v>
      </c>
      <c r="D552" s="20">
        <v>-70.94</v>
      </c>
      <c r="G552" s="21"/>
      <c r="I552" s="15" t="s">
        <v>2</v>
      </c>
      <c r="J552" s="21">
        <f>+N534+0.0000001</f>
        <v>1.0001492537313432E-07</v>
      </c>
      <c r="K552" s="21"/>
    </row>
    <row r="553" spans="1:11" ht="15">
      <c r="A553" s="20">
        <f>+A552*1000</f>
        <v>-42590</v>
      </c>
      <c r="C553" s="20">
        <f>+C552*1000</f>
        <v>-196980</v>
      </c>
      <c r="D553" s="20">
        <f>+D552*1000</f>
        <v>-70940</v>
      </c>
      <c r="E553" s="20">
        <f>+(D553*4+C553)-2*A553</f>
        <v>-395560</v>
      </c>
      <c r="F553" s="20" t="s">
        <v>406</v>
      </c>
      <c r="G553" s="21">
        <f>+E553*4.1858/1000</f>
        <v>-1655.7350480000002</v>
      </c>
      <c r="I553" s="15" t="s">
        <v>4</v>
      </c>
      <c r="J553" s="21">
        <f>-N535</f>
        <v>-6.8952629979304915E-15</v>
      </c>
      <c r="K553" s="21"/>
    </row>
    <row r="554" spans="5:11" ht="15">
      <c r="E554" s="176">
        <f>+E553/2</f>
        <v>-197780</v>
      </c>
      <c r="F554" s="20" t="s">
        <v>404</v>
      </c>
      <c r="G554" s="21">
        <f>+E554*4.1858/1000</f>
        <v>-827.8675240000001</v>
      </c>
      <c r="I554" s="15" t="s">
        <v>7</v>
      </c>
      <c r="J554" s="21">
        <f>+(J552^2)-4*J551*J553</f>
        <v>3.758403728911559E-14</v>
      </c>
      <c r="K554" s="21"/>
    </row>
    <row r="555" spans="5:11" ht="15">
      <c r="E555" s="21">
        <f>+E554*A548</f>
        <v>-1318753125.52092</v>
      </c>
      <c r="F555" s="20" t="s">
        <v>405</v>
      </c>
      <c r="G555" s="21">
        <f>+E555*4.1858/1000</f>
        <v>-5520036.832805468</v>
      </c>
      <c r="I555" s="15" t="s">
        <v>6</v>
      </c>
      <c r="J555" s="21">
        <f>+SQRT(J554)</f>
        <v>1.9386602922924788E-07</v>
      </c>
      <c r="K555" s="21"/>
    </row>
    <row r="556" spans="9:16" ht="15">
      <c r="I556" s="30" t="s">
        <v>8</v>
      </c>
      <c r="J556" s="50">
        <f>+(-J552+J555)/(2*J551)</f>
        <v>4.6925551928056776E-08</v>
      </c>
      <c r="K556" s="50"/>
      <c r="L556" s="21">
        <f>+J556+0.0000001</f>
        <v>1.4692555192805677E-07</v>
      </c>
      <c r="M556" s="21"/>
      <c r="N556" s="44">
        <f>+-LOG10(L556)</f>
        <v>6.832902669176713</v>
      </c>
      <c r="O556" s="42">
        <f>14-N556</f>
        <v>7.167097330823287</v>
      </c>
      <c r="P556" s="42"/>
    </row>
    <row r="557" spans="1:11" ht="15">
      <c r="A557" s="20">
        <v>-178.2</v>
      </c>
      <c r="C557" s="20">
        <v>-824.2</v>
      </c>
      <c r="D557" s="20">
        <v>-296.8</v>
      </c>
      <c r="E557" s="58">
        <f>+(D557*4+C557)-2*A557</f>
        <v>-1655</v>
      </c>
      <c r="I557" s="30" t="s">
        <v>9</v>
      </c>
      <c r="J557" s="21">
        <f>+(-J552-J555)/(2*J551)</f>
        <v>-1.469404773011911E-07</v>
      </c>
      <c r="K557" s="21"/>
    </row>
    <row r="558" ht="15">
      <c r="E558" s="54">
        <f>+E557/2</f>
        <v>-827.5</v>
      </c>
    </row>
    <row r="559" ht="15">
      <c r="E559" s="21">
        <f>+E558*A548</f>
        <v>-5517586.264377397</v>
      </c>
    </row>
    <row r="560" spans="9:16" ht="15">
      <c r="I560" s="15" t="s">
        <v>0</v>
      </c>
      <c r="J560" s="35">
        <v>1</v>
      </c>
      <c r="K560" s="35"/>
      <c r="N560" s="21">
        <f>10^-1.93</f>
        <v>0.011748975549395293</v>
      </c>
      <c r="O560" s="21">
        <f>0.3-N560</f>
        <v>0.2882510244506047</v>
      </c>
      <c r="P560" s="21"/>
    </row>
    <row r="561" spans="9:14" ht="15">
      <c r="I561" s="15" t="s">
        <v>2</v>
      </c>
      <c r="J561" s="21">
        <f>N562</f>
        <v>2.088194076404733E-11</v>
      </c>
      <c r="K561" s="21"/>
      <c r="N561" s="21">
        <f>+N560^2/(0.3-N560)</f>
        <v>0.0004788826916517794</v>
      </c>
    </row>
    <row r="562" spans="1:14" ht="15">
      <c r="A562" s="20">
        <f>+(100000/101325)/(0.0821*273)</f>
        <v>0.044032929854863526</v>
      </c>
      <c r="B562" s="35">
        <f>+(100000/101325)</f>
        <v>0.9869232667160128</v>
      </c>
      <c r="C562" s="20">
        <f>+B562/0.0821/273</f>
        <v>0.04403292985486353</v>
      </c>
      <c r="I562" s="15" t="s">
        <v>4</v>
      </c>
      <c r="J562" s="21">
        <f>-N563</f>
        <v>-4.176388152809466E-12</v>
      </c>
      <c r="K562" s="21"/>
      <c r="N562" s="21">
        <f>0.00000000000001/N561</f>
        <v>2.088194076404733E-11</v>
      </c>
    </row>
    <row r="563" spans="1:14" ht="15">
      <c r="A563" s="20">
        <f>1.09/A562</f>
        <v>24.754201085250006</v>
      </c>
      <c r="C563" s="58">
        <f>1.09/C562</f>
        <v>24.754201085250003</v>
      </c>
      <c r="I563" s="15" t="s">
        <v>7</v>
      </c>
      <c r="J563" s="21">
        <f>+(J561^2)-4*J560*J562</f>
        <v>1.670555261167392E-11</v>
      </c>
      <c r="K563" s="21"/>
      <c r="N563" s="21">
        <f>+N562*0.2</f>
        <v>4.176388152809466E-12</v>
      </c>
    </row>
    <row r="564" spans="9:11" ht="15">
      <c r="I564" s="15" t="s">
        <v>6</v>
      </c>
      <c r="J564" s="21">
        <f>+SQRT(J563)</f>
        <v>4.087242666110482E-06</v>
      </c>
      <c r="K564" s="21"/>
    </row>
    <row r="565" spans="9:14" ht="15">
      <c r="I565" s="30" t="s">
        <v>8</v>
      </c>
      <c r="J565" s="50">
        <f>+(-J561+J564)/(2*J560)</f>
        <v>2.043610892084859E-06</v>
      </c>
      <c r="K565" s="50"/>
      <c r="L565" s="44">
        <f>+-LOG10(J565)</f>
        <v>5.689601791270776</v>
      </c>
      <c r="M565" s="44"/>
      <c r="N565" s="42">
        <f>14-L565</f>
        <v>8.310398208729225</v>
      </c>
    </row>
    <row r="566" spans="1:11" ht="15">
      <c r="A566" s="35">
        <f>10^-0.62</f>
        <v>0.23988329190194901</v>
      </c>
      <c r="B566" s="21">
        <f>10^-1.68</f>
        <v>0.020892961308540386</v>
      </c>
      <c r="C566" s="15">
        <f>-LOG10(B566)</f>
        <v>1.6800000000000002</v>
      </c>
      <c r="D566" s="35"/>
      <c r="E566" s="21">
        <f>0.00000000000001/B567*A567/D571</f>
        <v>8.996517553893365E-12</v>
      </c>
      <c r="I566" s="30" t="s">
        <v>9</v>
      </c>
      <c r="J566" s="21">
        <f>+(-J561-J564)/(2*J560)</f>
        <v>-2.043631774025623E-06</v>
      </c>
      <c r="K566" s="21"/>
    </row>
    <row r="567" spans="1:5" ht="15">
      <c r="A567" s="34">
        <f>+A566*0.5</f>
        <v>0.11994164595097451</v>
      </c>
      <c r="B567" s="57">
        <v>0.00037</v>
      </c>
      <c r="C567" s="15"/>
      <c r="D567" s="21"/>
      <c r="E567" s="42">
        <f>-LOG10(E566)</f>
        <v>11.04592556831705</v>
      </c>
    </row>
    <row r="568" spans="1:4" ht="15">
      <c r="A568" s="35">
        <f>+A567-B569</f>
        <v>0.11950513011873434</v>
      </c>
      <c r="B568" s="21">
        <f>+B567*B566</f>
        <v>7.730395684159942E-06</v>
      </c>
      <c r="C568" s="15"/>
      <c r="D568" s="21"/>
    </row>
    <row r="569" spans="1:14" ht="15">
      <c r="A569" s="42">
        <f>-LOG10(A568)</f>
        <v>0.9226134509130341</v>
      </c>
      <c r="B569" s="21">
        <f>+B566^2</f>
        <v>0.00043651583224016557</v>
      </c>
      <c r="C569" s="15"/>
      <c r="D569" s="21"/>
      <c r="L569" s="20">
        <f>2*-296.8</f>
        <v>-593.6</v>
      </c>
      <c r="N569" s="42">
        <f>850/120</f>
        <v>7.083333333333333</v>
      </c>
    </row>
    <row r="570" spans="2:12" ht="15">
      <c r="B570" s="21">
        <f>+B568+B569</f>
        <v>0.0004442462279243255</v>
      </c>
      <c r="C570" s="15"/>
      <c r="D570" s="21"/>
      <c r="L570" s="20">
        <f>-824.2/2</f>
        <v>-412.1</v>
      </c>
    </row>
    <row r="571" spans="1:12" ht="15">
      <c r="A571" s="21"/>
      <c r="B571" s="37">
        <f>+B570/B567</f>
        <v>1.2006654808765553</v>
      </c>
      <c r="C571" s="192">
        <f>+B571*0.4</f>
        <v>0.4802661923506222</v>
      </c>
      <c r="D571" s="21">
        <f>+C571-A567</f>
        <v>0.36032454639964767</v>
      </c>
      <c r="L571" s="20">
        <f>+L569+L570</f>
        <v>-1005.7</v>
      </c>
    </row>
    <row r="572" spans="1:12" ht="15">
      <c r="A572" s="21">
        <f>0.00000000000001/B567</f>
        <v>2.7027027027027027E-11</v>
      </c>
      <c r="C572" s="30"/>
      <c r="D572" s="21"/>
      <c r="L572" s="20">
        <v>-178.2</v>
      </c>
    </row>
    <row r="573" spans="1:14" ht="15">
      <c r="A573" s="21">
        <f>+A572*B569</f>
        <v>1.179772519568015E-14</v>
      </c>
      <c r="L573" s="20">
        <f>+L571-L572</f>
        <v>-827.5</v>
      </c>
      <c r="N573" s="60">
        <f>+L573*N569</f>
        <v>-5861.458333333333</v>
      </c>
    </row>
    <row r="574" spans="1:4" ht="15">
      <c r="A574" s="21">
        <f>+A568+A572</f>
        <v>0.11950513014576138</v>
      </c>
      <c r="C574" s="15" t="s">
        <v>0</v>
      </c>
      <c r="D574" s="35">
        <v>1</v>
      </c>
    </row>
    <row r="575" spans="3:4" ht="15">
      <c r="C575" s="15" t="s">
        <v>2</v>
      </c>
      <c r="D575" s="21">
        <f>A574</f>
        <v>0.11950513014576138</v>
      </c>
    </row>
    <row r="576" spans="3:4" ht="15">
      <c r="C576" s="15" t="s">
        <v>4</v>
      </c>
      <c r="D576" s="21">
        <f>-A573</f>
        <v>-1.179772519568015E-14</v>
      </c>
    </row>
    <row r="577" spans="3:17" ht="15">
      <c r="C577" s="15" t="s">
        <v>7</v>
      </c>
      <c r="D577" s="21">
        <f>+(D575^2)-4*D574*D576</f>
        <v>0.014281476131202555</v>
      </c>
      <c r="I577" s="15" t="s">
        <v>0</v>
      </c>
      <c r="J577" s="35">
        <v>1</v>
      </c>
      <c r="K577" s="35"/>
      <c r="N577" s="20">
        <f>10^-4.75</f>
        <v>1.7782794100389215E-05</v>
      </c>
      <c r="O577" s="74">
        <f>+SQRT(N578)</f>
        <v>0.0013335214321633236</v>
      </c>
      <c r="P577" s="74"/>
      <c r="Q577" s="54">
        <f>+-LOG10(O577)</f>
        <v>2.875</v>
      </c>
    </row>
    <row r="578" spans="3:14" ht="15">
      <c r="C578" s="15" t="s">
        <v>6</v>
      </c>
      <c r="D578" s="21">
        <f>+SQRT(D577)</f>
        <v>0.11950513014595882</v>
      </c>
      <c r="I578" s="15" t="s">
        <v>2</v>
      </c>
      <c r="J578" s="21">
        <f>N582</f>
        <v>0.1000177827941004</v>
      </c>
      <c r="K578" s="21"/>
      <c r="N578" s="20">
        <f>+N577*0.1</f>
        <v>1.7782794100389216E-06</v>
      </c>
    </row>
    <row r="579" spans="3:11" ht="15">
      <c r="C579" s="30" t="s">
        <v>8</v>
      </c>
      <c r="D579" s="50">
        <f>+(-D575+D578)/(2*D574)</f>
        <v>9.871964357088814E-14</v>
      </c>
      <c r="E579" s="35">
        <f>+A568</f>
        <v>0.11950513011873434</v>
      </c>
      <c r="F579" s="20">
        <f>-LOG10(E579)</f>
        <v>0.9226134509130341</v>
      </c>
      <c r="I579" s="15" t="s">
        <v>4</v>
      </c>
      <c r="J579" s="21">
        <f>-N581</f>
        <v>-3.5565588200778433E-06</v>
      </c>
      <c r="K579" s="21"/>
    </row>
    <row r="580" spans="3:17" ht="15">
      <c r="C580" s="30" t="s">
        <v>9</v>
      </c>
      <c r="D580" s="21">
        <f>+(-D575-D578)/(2*D574)</f>
        <v>-0.11950513014586009</v>
      </c>
      <c r="I580" s="15" t="s">
        <v>7</v>
      </c>
      <c r="J580" s="21">
        <f>+(J578^2)-4*J577*J579</f>
        <v>0.010017783110328157</v>
      </c>
      <c r="K580" s="21"/>
      <c r="N580" s="20">
        <f>+N577*0.1/0.2</f>
        <v>8.891397050194608E-06</v>
      </c>
      <c r="O580" s="54">
        <f>+-LOG10(N580)</f>
        <v>5.051029995663981</v>
      </c>
      <c r="P580" s="54"/>
      <c r="Q580" s="54"/>
    </row>
    <row r="581" spans="9:14" ht="15">
      <c r="I581" s="15" t="s">
        <v>6</v>
      </c>
      <c r="J581" s="21">
        <f>+SQRT(J580)</f>
        <v>0.10008887605687336</v>
      </c>
      <c r="K581" s="21"/>
      <c r="N581" s="20">
        <f>+N577*0.2</f>
        <v>3.5565588200778433E-06</v>
      </c>
    </row>
    <row r="582" spans="9:14" ht="15">
      <c r="I582" s="30" t="s">
        <v>8</v>
      </c>
      <c r="J582" s="74">
        <f>+(-J578+J581)/(2*J577)</f>
        <v>3.5546631386482175E-05</v>
      </c>
      <c r="K582" s="74"/>
      <c r="L582" s="54">
        <f>+-LOG10(J582)</f>
        <v>4.449201549352787</v>
      </c>
      <c r="M582" s="54"/>
      <c r="N582" s="20">
        <f>+N577+0.1</f>
        <v>0.1000177827941004</v>
      </c>
    </row>
    <row r="583" spans="9:11" ht="15">
      <c r="I583" s="30" t="s">
        <v>9</v>
      </c>
      <c r="J583" s="21">
        <f>+(-J578-J581)/(2*J577)</f>
        <v>-0.10005332942548688</v>
      </c>
      <c r="K583" s="21"/>
    </row>
    <row r="584" spans="1:4" ht="15">
      <c r="A584" s="63">
        <f>0.66/0.0821/338.15</f>
        <v>0.023773404872071167</v>
      </c>
      <c r="B584" s="21">
        <f>0.2+D589</f>
        <v>0.2739261697995002</v>
      </c>
      <c r="C584" s="15" t="s">
        <v>0</v>
      </c>
      <c r="D584" s="35">
        <v>4</v>
      </c>
    </row>
    <row r="585" spans="1:4" ht="15">
      <c r="A585" s="21">
        <f>0.02^2</f>
        <v>0.0004</v>
      </c>
      <c r="B585" s="21">
        <f>0.18-D589</f>
        <v>0.10607383020049982</v>
      </c>
      <c r="C585" s="15" t="s">
        <v>2</v>
      </c>
      <c r="D585" s="21">
        <f>A588</f>
        <v>0.27773404872071167</v>
      </c>
    </row>
    <row r="586" spans="1:17" ht="15">
      <c r="A586" s="21">
        <f>0.02*2</f>
        <v>0.04</v>
      </c>
      <c r="B586" s="21">
        <f>0.02+2*D589</f>
        <v>0.16785233959900034</v>
      </c>
      <c r="C586" s="15" t="s">
        <v>4</v>
      </c>
      <c r="D586" s="21">
        <f>A589</f>
        <v>-0.0423921287697281</v>
      </c>
      <c r="I586" s="15" t="s">
        <v>0</v>
      </c>
      <c r="J586" s="35">
        <v>1</v>
      </c>
      <c r="K586" s="35"/>
      <c r="N586" s="20">
        <f>0.00000000000001/0.00018</f>
        <v>5.5555555555555553E-11</v>
      </c>
      <c r="O586" s="20">
        <f>+SQRT(N587)</f>
        <v>2.3570226039551584E-06</v>
      </c>
      <c r="Q586" s="43">
        <f>+-LOG10(O586)</f>
        <v>5.627636252551653</v>
      </c>
    </row>
    <row r="587" spans="1:14" ht="15">
      <c r="A587" s="21">
        <f>+A584*1.8</f>
        <v>0.0427921287697281</v>
      </c>
      <c r="B587" s="42">
        <f>+B585/B584</f>
        <v>0.38723510892785595</v>
      </c>
      <c r="C587" s="15" t="s">
        <v>7</v>
      </c>
      <c r="D587" s="21">
        <f>+(D585^2)-4*D584*D586</f>
        <v>0.7554102621344483</v>
      </c>
      <c r="I587" s="15" t="s">
        <v>2</v>
      </c>
      <c r="J587" s="21">
        <f>N586</f>
        <v>5.5555555555555553E-11</v>
      </c>
      <c r="K587" s="21"/>
      <c r="N587" s="20">
        <f>+N586*0.1</f>
        <v>5.5555555555555555E-12</v>
      </c>
    </row>
    <row r="588" spans="1:11" ht="15">
      <c r="A588" s="21">
        <f>+A584*10+A586</f>
        <v>0.27773404872071167</v>
      </c>
      <c r="B588" s="42">
        <f>+B586/B584</f>
        <v>0.6127648910721439</v>
      </c>
      <c r="C588" s="15" t="s">
        <v>6</v>
      </c>
      <c r="D588" s="21">
        <f>+SQRT(D587)</f>
        <v>0.869143407116713</v>
      </c>
      <c r="I588" s="15" t="s">
        <v>4</v>
      </c>
      <c r="J588" s="21">
        <f>-N587</f>
        <v>-5.5555555555555555E-12</v>
      </c>
      <c r="K588" s="21"/>
    </row>
    <row r="589" spans="1:11" ht="15">
      <c r="A589" s="21">
        <f>+A585-A587</f>
        <v>-0.0423921287697281</v>
      </c>
      <c r="B589" s="314"/>
      <c r="C589" s="30" t="s">
        <v>8</v>
      </c>
      <c r="D589" s="50">
        <f>+(-D585+D588)/(2*D584)</f>
        <v>0.07392616979950017</v>
      </c>
      <c r="I589" s="15" t="s">
        <v>7</v>
      </c>
      <c r="J589" s="21">
        <f>+(J587^2)-4*J586*J588</f>
        <v>2.2222222225308643E-11</v>
      </c>
      <c r="K589" s="21"/>
    </row>
    <row r="590" spans="1:11" ht="15">
      <c r="A590" s="21"/>
      <c r="B590" s="310"/>
      <c r="C590" s="30" t="s">
        <v>9</v>
      </c>
      <c r="D590" s="21">
        <f>+(-D585-D588)/(2*D584)</f>
        <v>-0.14335968197967808</v>
      </c>
      <c r="I590" s="15" t="s">
        <v>6</v>
      </c>
      <c r="J590" s="21">
        <f>+SQRT(J589)</f>
        <v>4.7140452082376814E-06</v>
      </c>
      <c r="K590" s="21"/>
    </row>
    <row r="591" spans="1:14" ht="15">
      <c r="A591" s="42"/>
      <c r="I591" s="30" t="s">
        <v>8</v>
      </c>
      <c r="J591" s="74">
        <f>+(-J587+J590)/(2*J586)</f>
        <v>2.356994826341063E-06</v>
      </c>
      <c r="K591" s="74"/>
      <c r="L591" s="43">
        <f>+-LOG10(J591)</f>
        <v>5.627641370761206</v>
      </c>
      <c r="M591" s="43"/>
      <c r="N591" s="35">
        <f>14-L591</f>
        <v>8.372358629238793</v>
      </c>
    </row>
    <row r="592" spans="1:11" ht="15">
      <c r="A592" s="42"/>
      <c r="I592" s="30" t="s">
        <v>9</v>
      </c>
      <c r="J592" s="21">
        <f>+(-J587-J590)/(2*J586)</f>
        <v>-2.3570503818966184E-06</v>
      </c>
      <c r="K592" s="21"/>
    </row>
    <row r="594" spans="1:4" ht="15">
      <c r="A594" s="63">
        <f>0.66/0.0821/338.15</f>
        <v>0.023773404872071167</v>
      </c>
      <c r="C594" s="15" t="s">
        <v>0</v>
      </c>
      <c r="D594" s="35">
        <v>4</v>
      </c>
    </row>
    <row r="595" spans="1:16" ht="15">
      <c r="A595" s="21">
        <f>+A594*0.018</f>
        <v>0.000427921287697281</v>
      </c>
      <c r="C595" s="15" t="s">
        <v>2</v>
      </c>
      <c r="D595" s="21">
        <f>A597</f>
        <v>0.03177340487207117</v>
      </c>
      <c r="J595" s="21">
        <f>0.00000000000001/0.000018</f>
        <v>5.555555555555555E-10</v>
      </c>
      <c r="K595" s="21"/>
      <c r="L595" s="21">
        <f>10^-8.8</f>
        <v>1.584893192461106E-09</v>
      </c>
      <c r="M595" s="21"/>
      <c r="N595" s="42">
        <f>+L597*0.121*200</f>
        <v>8.482870964678193</v>
      </c>
      <c r="O595" s="21"/>
      <c r="P595" s="21"/>
    </row>
    <row r="596" spans="1:16" ht="15">
      <c r="A596" s="21">
        <f>0.002^2</f>
        <v>4E-06</v>
      </c>
      <c r="C596" s="15" t="s">
        <v>4</v>
      </c>
      <c r="D596" s="21">
        <f>A598</f>
        <v>-0.000423921287697281</v>
      </c>
      <c r="L596" s="21">
        <f>+L595/5</f>
        <v>3.169786384922212E-10</v>
      </c>
      <c r="M596" s="21"/>
      <c r="N596" s="20">
        <f>0.089*200</f>
        <v>17.8</v>
      </c>
      <c r="O596" s="21"/>
      <c r="P596" s="21"/>
    </row>
    <row r="597" spans="1:16" ht="15">
      <c r="A597" s="21">
        <f>0.008+A594</f>
        <v>0.03177340487207117</v>
      </c>
      <c r="C597" s="15" t="s">
        <v>7</v>
      </c>
      <c r="D597" s="21">
        <f>+(D595^2)-4*D594*D596</f>
        <v>0.007792289860321051</v>
      </c>
      <c r="L597" s="21">
        <f>+J595/L595</f>
        <v>0.35053185804455345</v>
      </c>
      <c r="M597" s="21"/>
      <c r="N597" s="20">
        <f>0.089+0.121</f>
        <v>0.21</v>
      </c>
      <c r="O597" s="21"/>
      <c r="P597" s="21"/>
    </row>
    <row r="598" spans="1:16" ht="15">
      <c r="A598" s="21">
        <f>+A596-A595</f>
        <v>-0.000423921287697281</v>
      </c>
      <c r="C598" s="15" t="s">
        <v>6</v>
      </c>
      <c r="D598" s="21">
        <f>+SQRT(D597)</f>
        <v>0.08827394780070194</v>
      </c>
      <c r="N598" s="42">
        <f>+N596-N595</f>
        <v>9.317129035321807</v>
      </c>
      <c r="O598" s="21"/>
      <c r="P598" s="21"/>
    </row>
    <row r="599" spans="1:14" ht="15">
      <c r="A599" s="21"/>
      <c r="C599" s="30" t="s">
        <v>8</v>
      </c>
      <c r="D599" s="50">
        <f>+(-D595+D598)/(2*D594)</f>
        <v>0.007062567866078846</v>
      </c>
      <c r="N599" s="58">
        <f>+N598/N597</f>
        <v>44.36728112058004</v>
      </c>
    </row>
    <row r="600" spans="1:14" ht="15">
      <c r="A600" s="21">
        <f>0.02+D599</f>
        <v>0.027062567866078847</v>
      </c>
      <c r="C600" s="30" t="s">
        <v>9</v>
      </c>
      <c r="D600" s="21">
        <f>+(-D595-D598)/(2*D594)</f>
        <v>-0.015005919084096639</v>
      </c>
      <c r="N600" s="58">
        <f>200-N599</f>
        <v>155.63271887941997</v>
      </c>
    </row>
    <row r="601" spans="1:2" ht="15">
      <c r="A601" s="21">
        <f>0.018-D599</f>
        <v>0.010937432133921152</v>
      </c>
      <c r="B601" s="314">
        <f>+A602^2/A601</f>
        <v>0.023773404872071167</v>
      </c>
    </row>
    <row r="602" spans="1:17" ht="15">
      <c r="A602" s="21">
        <f>0.002+2*D599</f>
        <v>0.016125135732157694</v>
      </c>
      <c r="B602" s="310"/>
      <c r="N602" s="20">
        <v>0.089</v>
      </c>
      <c r="O602" s="20">
        <f>+N602*200</f>
        <v>17.8</v>
      </c>
      <c r="Q602" s="21">
        <f>+N603*O605/1000</f>
        <v>0.008532795218825684</v>
      </c>
    </row>
    <row r="603" spans="1:17" ht="15">
      <c r="A603" s="42">
        <f>+A601/A600</f>
        <v>0.40415352260900955</v>
      </c>
      <c r="B603" s="20" t="s">
        <v>407</v>
      </c>
      <c r="N603" s="20">
        <v>0.121</v>
      </c>
      <c r="O603" s="21">
        <f>+N603*L597</f>
        <v>0.04241435482339097</v>
      </c>
      <c r="P603" s="21"/>
      <c r="Q603" s="21">
        <f>+N602*O606/1000</f>
        <v>0.01152381178119433</v>
      </c>
    </row>
    <row r="604" spans="1:17" ht="15">
      <c r="A604" s="42">
        <f>+A602/A600</f>
        <v>0.5958464773909905</v>
      </c>
      <c r="B604" s="20" t="s">
        <v>408</v>
      </c>
      <c r="O604" s="21">
        <f>+O603+N597</f>
        <v>0.252414354823391</v>
      </c>
      <c r="P604" s="21"/>
      <c r="Q604" s="21">
        <f>+Q603-Q602</f>
        <v>0.0029910165623686456</v>
      </c>
    </row>
    <row r="605" spans="1:17" ht="15">
      <c r="A605" s="191" t="s">
        <v>411</v>
      </c>
      <c r="B605" s="191" t="s">
        <v>409</v>
      </c>
      <c r="C605" s="191" t="s">
        <v>410</v>
      </c>
      <c r="O605" s="60">
        <f>+O602/O604</f>
        <v>70.51896875062549</v>
      </c>
      <c r="P605" s="60"/>
      <c r="Q605" s="21">
        <f>+J595*Q602/Q604</f>
        <v>1.5848931924611078E-09</v>
      </c>
    </row>
    <row r="606" spans="1:16" ht="15">
      <c r="A606" s="197" t="s">
        <v>412</v>
      </c>
      <c r="B606" s="194">
        <v>2.5E-39</v>
      </c>
      <c r="C606" s="194">
        <f>+(B606/4)^(1/3)</f>
        <v>8.549879733383486E-14</v>
      </c>
      <c r="O606" s="60">
        <f>200-O605</f>
        <v>129.4810312493745</v>
      </c>
      <c r="P606" s="60"/>
    </row>
    <row r="607" spans="1:3" ht="15">
      <c r="A607" s="198" t="s">
        <v>413</v>
      </c>
      <c r="B607" s="194">
        <v>5E-33</v>
      </c>
      <c r="C607" s="194">
        <f>+(B607/4)^(1/3)</f>
        <v>1.077217345015945E-11</v>
      </c>
    </row>
    <row r="608" spans="1:3" ht="15">
      <c r="A608" s="199" t="s">
        <v>414</v>
      </c>
      <c r="B608" s="195">
        <v>6.5E-31</v>
      </c>
      <c r="C608" s="195">
        <f>+(B608/4)^(1/3)</f>
        <v>5.456964415305527E-11</v>
      </c>
    </row>
    <row r="609" spans="1:17" ht="15">
      <c r="A609" s="38" t="s">
        <v>415</v>
      </c>
      <c r="B609" s="193">
        <v>7.4E-17</v>
      </c>
      <c r="C609" s="193">
        <f aca="true" t="shared" si="0" ref="C609:C616">+SQRT(B609)</f>
        <v>8.602325267042626E-09</v>
      </c>
      <c r="I609" s="20">
        <v>-1271.9</v>
      </c>
      <c r="J609" s="8">
        <f>+I609*5/2</f>
        <v>-3179.75</v>
      </c>
      <c r="K609" s="150"/>
      <c r="L609" s="20">
        <v>-393.51</v>
      </c>
      <c r="N609" s="8">
        <f>+L609*2</f>
        <v>-787.02</v>
      </c>
      <c r="O609" s="20">
        <v>-1271.9</v>
      </c>
      <c r="Q609" s="20">
        <f>+O609*1</f>
        <v>-1271.9</v>
      </c>
    </row>
    <row r="610" spans="1:17" ht="15">
      <c r="A610" s="38" t="s">
        <v>416</v>
      </c>
      <c r="B610" s="194">
        <v>5.3E-16</v>
      </c>
      <c r="C610" s="194">
        <f t="shared" si="0"/>
        <v>2.3021728866442676E-08</v>
      </c>
      <c r="I610" s="20">
        <v>-241.82</v>
      </c>
      <c r="J610" s="8">
        <f>+I610*9/2</f>
        <v>-1088.19</v>
      </c>
      <c r="K610" s="150"/>
      <c r="L610" s="20">
        <v>-241.82</v>
      </c>
      <c r="N610" s="8">
        <f>+L610*3</f>
        <v>-725.46</v>
      </c>
      <c r="O610" s="20">
        <v>-241.82</v>
      </c>
      <c r="Q610" s="20">
        <f>+O610*3</f>
        <v>-725.46</v>
      </c>
    </row>
    <row r="611" spans="1:17" ht="15">
      <c r="A611" s="38" t="s">
        <v>417</v>
      </c>
      <c r="B611" s="194">
        <v>5.7E-15</v>
      </c>
      <c r="C611" s="194">
        <f t="shared" si="0"/>
        <v>7.549834435270749E-08</v>
      </c>
      <c r="I611" s="20">
        <v>73.2</v>
      </c>
      <c r="J611" s="8">
        <f>+I611</f>
        <v>73.2</v>
      </c>
      <c r="K611" s="150"/>
      <c r="L611" s="20">
        <v>-84.68</v>
      </c>
      <c r="N611" s="8">
        <f>+L611</f>
        <v>-84.68</v>
      </c>
      <c r="Q611" s="20">
        <f>+Q609+Q610</f>
        <v>-1997.3600000000001</v>
      </c>
    </row>
    <row r="612" spans="1:17" ht="15">
      <c r="A612" s="38"/>
      <c r="B612" s="195">
        <v>2E-13</v>
      </c>
      <c r="C612" s="195">
        <f t="shared" si="0"/>
        <v>4.472135954999579E-07</v>
      </c>
      <c r="J612" s="18">
        <f>+J609+J610-J611</f>
        <v>-4341.14</v>
      </c>
      <c r="K612" s="18"/>
      <c r="L612" s="18"/>
      <c r="M612" s="18"/>
      <c r="N612" s="18">
        <f>+N609+N610-N611</f>
        <v>-1427.8</v>
      </c>
      <c r="Q612" s="20">
        <f>-2138+(Q611*-1)</f>
        <v>-140.63999999999987</v>
      </c>
    </row>
    <row r="613" spans="1:17" ht="15">
      <c r="A613" s="38"/>
      <c r="B613" s="196">
        <v>5.4E-12</v>
      </c>
      <c r="C613" s="196">
        <f t="shared" si="0"/>
        <v>2.32379000772445E-06</v>
      </c>
      <c r="J613" s="51" t="s">
        <v>78</v>
      </c>
      <c r="K613" s="51"/>
      <c r="N613" s="51" t="s">
        <v>80</v>
      </c>
      <c r="Q613" s="51" t="s">
        <v>79</v>
      </c>
    </row>
    <row r="614" spans="1:3" ht="15">
      <c r="A614" s="38"/>
      <c r="B614" s="193">
        <v>4.5E-06</v>
      </c>
      <c r="C614" s="193">
        <f t="shared" si="0"/>
        <v>0.0021213203435596424</v>
      </c>
    </row>
    <row r="615" spans="1:3" ht="15">
      <c r="A615" s="38"/>
      <c r="B615" s="194">
        <v>0.005</v>
      </c>
      <c r="C615" s="194">
        <f t="shared" si="0"/>
        <v>0.07071067811865475</v>
      </c>
    </row>
    <row r="616" spans="1:11" ht="15">
      <c r="A616" s="38"/>
      <c r="B616" s="195">
        <v>0.00014</v>
      </c>
      <c r="C616" s="195">
        <f t="shared" si="0"/>
        <v>0.011832159566199232</v>
      </c>
      <c r="I616" s="15" t="s">
        <v>0</v>
      </c>
      <c r="J616" s="35">
        <v>1</v>
      </c>
      <c r="K616" s="35"/>
    </row>
    <row r="617" spans="9:11" ht="15">
      <c r="I617" s="15" t="s">
        <v>2</v>
      </c>
      <c r="J617" s="21">
        <v>0.007</v>
      </c>
      <c r="K617" s="21"/>
    </row>
    <row r="618" spans="1:11" ht="15">
      <c r="A618" s="57"/>
      <c r="I618" s="15" t="s">
        <v>4</v>
      </c>
      <c r="J618" s="21">
        <v>-1.8E-10</v>
      </c>
      <c r="K618" s="21"/>
    </row>
    <row r="619" spans="1:11" ht="15">
      <c r="A619" s="57">
        <v>8.3E-09</v>
      </c>
      <c r="I619" s="15" t="s">
        <v>7</v>
      </c>
      <c r="J619" s="21">
        <f>+(J617^2)-4*J616*J618</f>
        <v>4.900072000000001E-05</v>
      </c>
      <c r="K619" s="21"/>
    </row>
    <row r="620" spans="1:11" ht="15">
      <c r="A620" s="57">
        <f>+(A619/4)^(1/3)</f>
        <v>0.0012754772018672062</v>
      </c>
      <c r="B620" s="20" t="s">
        <v>418</v>
      </c>
      <c r="I620" s="15" t="s">
        <v>6</v>
      </c>
      <c r="J620" s="21">
        <f>+SQRT(J619)</f>
        <v>0.007000051428382509</v>
      </c>
      <c r="K620" s="21"/>
    </row>
    <row r="621" spans="1:14" ht="15">
      <c r="A621" s="57">
        <f>+A620*2</f>
        <v>0.0025509544037344125</v>
      </c>
      <c r="B621" s="20" t="s">
        <v>419</v>
      </c>
      <c r="I621" s="30" t="s">
        <v>8</v>
      </c>
      <c r="J621" s="52">
        <f>+(-J617+J620)/(2*J616)</f>
        <v>2.5714191254598562E-08</v>
      </c>
      <c r="K621" s="52"/>
      <c r="L621" s="21">
        <v>0.007</v>
      </c>
      <c r="M621" s="21"/>
      <c r="N621" s="57">
        <f>+L621+J621</f>
        <v>0.007000025714191255</v>
      </c>
    </row>
    <row r="622" spans="1:11" ht="15">
      <c r="A622" s="20">
        <v>0.2</v>
      </c>
      <c r="B622" s="20" t="s">
        <v>420</v>
      </c>
      <c r="I622" s="30" t="s">
        <v>9</v>
      </c>
      <c r="J622" s="21">
        <f>+(-J617-J620)/(2*J616)</f>
        <v>-0.007000025714191255</v>
      </c>
      <c r="K622" s="21"/>
    </row>
    <row r="623" ht="15">
      <c r="A623" s="46">
        <f>+A622-A621</f>
        <v>0.1974490455962656</v>
      </c>
    </row>
    <row r="624" spans="9:11" ht="15">
      <c r="I624" s="15" t="s">
        <v>0</v>
      </c>
      <c r="J624" s="35">
        <v>1</v>
      </c>
      <c r="K624" s="35"/>
    </row>
    <row r="625" spans="9:11" ht="15">
      <c r="I625" s="15" t="s">
        <v>2</v>
      </c>
      <c r="J625" s="21">
        <v>0.0035</v>
      </c>
      <c r="K625" s="21"/>
    </row>
    <row r="626" spans="1:11" ht="15">
      <c r="A626" s="20" t="s">
        <v>421</v>
      </c>
      <c r="B626" s="57">
        <f>0.15*0.0002</f>
        <v>3E-05</v>
      </c>
      <c r="C626" s="57"/>
      <c r="D626" s="21">
        <f>+B634*0.4</f>
        <v>7.2000000000000005E-06</v>
      </c>
      <c r="E626" s="35">
        <v>1</v>
      </c>
      <c r="I626" s="15" t="s">
        <v>4</v>
      </c>
      <c r="J626" s="21">
        <v>-1.1E-10</v>
      </c>
      <c r="K626" s="21"/>
    </row>
    <row r="627" spans="1:11" ht="15">
      <c r="A627" s="20" t="s">
        <v>422</v>
      </c>
      <c r="B627" s="57">
        <f>0.4*0.75</f>
        <v>0.30000000000000004</v>
      </c>
      <c r="C627" s="57"/>
      <c r="D627" s="21"/>
      <c r="E627" s="21">
        <f>B634</f>
        <v>1.8E-05</v>
      </c>
      <c r="I627" s="15" t="s">
        <v>7</v>
      </c>
      <c r="J627" s="21">
        <f>+(J625^2)-4*J624*J626</f>
        <v>1.2250440000000002E-05</v>
      </c>
      <c r="K627" s="21"/>
    </row>
    <row r="628" spans="1:11" ht="15">
      <c r="A628" s="20" t="s">
        <v>426</v>
      </c>
      <c r="B628" s="45">
        <f>+B627-B626</f>
        <v>0.29997000000000007</v>
      </c>
      <c r="C628" s="50">
        <f>+SQRT(B634*B628)</f>
        <v>0.0023236738153191816</v>
      </c>
      <c r="D628" s="44">
        <f>-LOG10(C628)</f>
        <v>2.6338248358984195</v>
      </c>
      <c r="E628" s="21">
        <f>-D626</f>
        <v>-7.2000000000000005E-06</v>
      </c>
      <c r="I628" s="15" t="s">
        <v>6</v>
      </c>
      <c r="J628" s="21">
        <f>+SQRT(J627)</f>
        <v>0.003500062856578436</v>
      </c>
      <c r="K628" s="21"/>
    </row>
    <row r="629" spans="1:14" ht="15">
      <c r="A629" s="20" t="s">
        <v>423</v>
      </c>
      <c r="B629" s="46">
        <f>B626</f>
        <v>3E-05</v>
      </c>
      <c r="C629" s="21"/>
      <c r="D629" s="44">
        <f>14-D628</f>
        <v>11.36617516410158</v>
      </c>
      <c r="E629" s="21">
        <f>+(E627^2)-4*E626*E628</f>
        <v>2.8800324000000002E-05</v>
      </c>
      <c r="I629" s="30" t="s">
        <v>8</v>
      </c>
      <c r="J629" s="52">
        <f>+(-J625+J628)/(2*J624)</f>
        <v>3.1428289218055766E-08</v>
      </c>
      <c r="K629" s="52"/>
      <c r="L629" s="21">
        <v>0.0035</v>
      </c>
      <c r="M629" s="21"/>
      <c r="N629" s="57">
        <f>+L629+J629</f>
        <v>0.003500031428289218</v>
      </c>
    </row>
    <row r="630" spans="1:11" ht="15">
      <c r="A630" s="98" t="s">
        <v>427</v>
      </c>
      <c r="B630" s="74">
        <f>+B628/0.7502</f>
        <v>0.3998533724340177</v>
      </c>
      <c r="C630" s="57"/>
      <c r="D630" s="21"/>
      <c r="E630" s="21">
        <f>+SQRT(E629)</f>
        <v>0.0053665933328322915</v>
      </c>
      <c r="I630" s="30" t="s">
        <v>9</v>
      </c>
      <c r="J630" s="21">
        <f>+(-J625-J628)/(2*J624)</f>
        <v>-0.003500031428289218</v>
      </c>
      <c r="K630" s="21"/>
    </row>
    <row r="631" spans="1:6" ht="15">
      <c r="A631" s="98" t="s">
        <v>424</v>
      </c>
      <c r="B631" s="74">
        <f>+B629/0.7502</f>
        <v>3.998933617701946E-05</v>
      </c>
      <c r="C631" s="42"/>
      <c r="D631" s="52"/>
      <c r="E631" s="52">
        <f>+(-E627+E630)/(2*E626)</f>
        <v>0.002674296666416146</v>
      </c>
      <c r="F631" s="20">
        <f>-LOG10(E631)</f>
        <v>2.57279041702881</v>
      </c>
    </row>
    <row r="632" spans="1:9" ht="15">
      <c r="A632" s="20" t="s">
        <v>425</v>
      </c>
      <c r="B632" s="46">
        <f>0.00000000000001/0.000018</f>
        <v>5.555555555555555E-10</v>
      </c>
      <c r="C632" s="57">
        <f>+B632*B631/B630</f>
        <v>5.556111166672221E-14</v>
      </c>
      <c r="D632" s="21"/>
      <c r="E632" s="21">
        <f>+(-E627-E630)/(2*E626)</f>
        <v>-0.0026922966664161456</v>
      </c>
      <c r="F632" s="44">
        <f>14-F631</f>
        <v>11.42720958297119</v>
      </c>
      <c r="G632" s="98" t="s">
        <v>428</v>
      </c>
      <c r="I632" s="20">
        <f>22/18.015</f>
        <v>1.2212045517624202</v>
      </c>
    </row>
    <row r="633" spans="3:9" ht="15">
      <c r="C633" s="42">
        <f>-LOG10(C632)</f>
        <v>13.255229073483498</v>
      </c>
      <c r="I633" s="20">
        <f>+I632*249.675</f>
        <v>304.90424646128224</v>
      </c>
    </row>
    <row r="634" spans="1:9" ht="15">
      <c r="A634" s="20" t="s">
        <v>37</v>
      </c>
      <c r="B634" s="57">
        <v>1.8E-05</v>
      </c>
      <c r="C634" s="57">
        <f>+B634*B630/B631</f>
        <v>0.17998200000000003</v>
      </c>
      <c r="E634" s="50">
        <f>+SQRT(B634*0.4)</f>
        <v>0.002683281572999748</v>
      </c>
      <c r="F634" s="44">
        <f>-LOG10(E634)</f>
        <v>2.5713337517843655</v>
      </c>
      <c r="I634" s="20">
        <f>500-I633</f>
        <v>195.09575353871776</v>
      </c>
    </row>
    <row r="635" spans="3:9" ht="15">
      <c r="C635" s="42">
        <f>-LOG10(C634)</f>
        <v>0.7447709265165013</v>
      </c>
      <c r="E635" s="98"/>
      <c r="F635" s="44">
        <f>14-F634</f>
        <v>11.428666248215634</v>
      </c>
      <c r="I635" s="20">
        <f>+I634/5</f>
        <v>39.01915070774355</v>
      </c>
    </row>
    <row r="636" spans="1:9" ht="15">
      <c r="A636" s="20" t="s">
        <v>429</v>
      </c>
      <c r="B636" s="45">
        <f>+B632+B630</f>
        <v>0.39985337298957324</v>
      </c>
      <c r="C636" s="42">
        <f>14-C635</f>
        <v>13.255229073483498</v>
      </c>
      <c r="I636" s="20">
        <f>100-I635</f>
        <v>60.98084929225645</v>
      </c>
    </row>
    <row r="637" spans="1:7" ht="15">
      <c r="A637" s="20" t="s">
        <v>430</v>
      </c>
      <c r="B637" s="45">
        <f>+B632*B631</f>
        <v>2.2216297876121922E-14</v>
      </c>
      <c r="E637" s="109"/>
      <c r="F637" s="201"/>
      <c r="G637" s="202"/>
    </row>
    <row r="638" spans="2:7" ht="15">
      <c r="B638" s="35">
        <v>1</v>
      </c>
      <c r="D638" s="46">
        <f>1+B630/B632</f>
        <v>719736071.3812319</v>
      </c>
      <c r="E638" s="109"/>
      <c r="F638" s="201" t="s">
        <v>437</v>
      </c>
      <c r="G638" s="203">
        <f>+B630/B632</f>
        <v>719736070.3812319</v>
      </c>
    </row>
    <row r="639" spans="1:18" ht="15">
      <c r="A639" s="42"/>
      <c r="B639" s="21">
        <f>B636</f>
        <v>0.39985337298957324</v>
      </c>
      <c r="D639" s="20">
        <f>0.00000000000001+B632*B631</f>
        <v>3.221629787612192E-14</v>
      </c>
      <c r="E639" s="109"/>
      <c r="F639" s="20" t="s">
        <v>430</v>
      </c>
      <c r="G639" s="203">
        <f>+B632*B631</f>
        <v>2.2216297876121922E-14</v>
      </c>
      <c r="I639" s="42">
        <f>70/32.042</f>
        <v>2.1846326696211222</v>
      </c>
      <c r="J639" s="7" t="s">
        <v>22</v>
      </c>
      <c r="K639" s="7"/>
      <c r="L639" s="35">
        <f>+I639/I641</f>
        <v>0.35861767561237895</v>
      </c>
      <c r="M639" s="35"/>
      <c r="N639" s="58">
        <f>+L639*94</f>
        <v>33.71006150756362</v>
      </c>
      <c r="O639" s="35">
        <f>+N639/N641</f>
        <v>0.5443174624630993</v>
      </c>
      <c r="P639" s="35"/>
      <c r="R639" s="60">
        <f>+L639*N639</f>
        <v>12.089023902592793</v>
      </c>
    </row>
    <row r="640" spans="1:16" ht="15">
      <c r="A640" s="42"/>
      <c r="B640" s="21">
        <f>-B637</f>
        <v>-2.2216297876121922E-14</v>
      </c>
      <c r="D640" s="20">
        <f>+D639/D638</f>
        <v>4.476126618789056E-23</v>
      </c>
      <c r="E640" s="109"/>
      <c r="F640" s="201"/>
      <c r="G640" s="203"/>
      <c r="I640" s="42">
        <f>180/46.069</f>
        <v>3.9071827042045624</v>
      </c>
      <c r="J640" s="7" t="s">
        <v>81</v>
      </c>
      <c r="K640" s="7"/>
      <c r="L640" s="35">
        <f>+I640/I641</f>
        <v>0.6413823243876211</v>
      </c>
      <c r="M640" s="35"/>
      <c r="N640" s="58">
        <f>+L640*44</f>
        <v>28.22082227305533</v>
      </c>
      <c r="O640" s="35">
        <f>+N640/N641</f>
        <v>0.45568253753690063</v>
      </c>
      <c r="P640" s="35"/>
    </row>
    <row r="641" spans="1:16" ht="15">
      <c r="A641" s="42"/>
      <c r="B641" s="21">
        <f>+(B639^2)-4*B638*B640</f>
        <v>0.15988271989122765</v>
      </c>
      <c r="D641" s="20">
        <f>+SQRT(D640)</f>
        <v>6.690386101555766E-12</v>
      </c>
      <c r="E641" s="109"/>
      <c r="F641" s="109"/>
      <c r="G641" s="203"/>
      <c r="I641" s="42">
        <f>+I639+I640</f>
        <v>6.091815373825685</v>
      </c>
      <c r="L641" s="35">
        <f>+L639+L640</f>
        <v>1</v>
      </c>
      <c r="M641" s="35"/>
      <c r="N641" s="58">
        <f>+N639+N640</f>
        <v>61.930883780618956</v>
      </c>
      <c r="O641" s="35">
        <f>+O639+O640</f>
        <v>1</v>
      </c>
      <c r="P641" s="35"/>
    </row>
    <row r="642" spans="1:18" ht="15">
      <c r="A642" s="42"/>
      <c r="B642" s="21">
        <f>+SQRT(B641)</f>
        <v>0.3998533729896844</v>
      </c>
      <c r="D642" s="44">
        <f>-LOG10(D641)</f>
        <v>11.17454881841505</v>
      </c>
      <c r="G642" s="52"/>
      <c r="R642" s="7" t="s">
        <v>39</v>
      </c>
    </row>
    <row r="643" spans="1:21" ht="15">
      <c r="A643" s="42">
        <f>-LOG10(B643)</f>
        <v>13.255185688375667</v>
      </c>
      <c r="B643" s="52">
        <f>+(-B639+B642)/(2*B638)</f>
        <v>5.5566662382489085E-14</v>
      </c>
      <c r="G643" s="21"/>
      <c r="I643" s="15" t="s">
        <v>0</v>
      </c>
      <c r="J643" s="35">
        <v>0.625</v>
      </c>
      <c r="K643" s="35"/>
      <c r="N643" s="7" t="s">
        <v>65</v>
      </c>
      <c r="O643" s="20">
        <f>3-0.6</f>
        <v>2.4</v>
      </c>
      <c r="Q643" s="20">
        <f>+O643/$O$647</f>
        <v>0.6</v>
      </c>
      <c r="R643" s="20">
        <f>+Q645*Q646/Q643/Q644</f>
        <v>0.37499999999999994</v>
      </c>
      <c r="S643" s="21">
        <f>1-J648</f>
        <v>1.2404082057734578</v>
      </c>
      <c r="T643" s="42">
        <f>+S643/$S$647</f>
        <v>0.31010205144336445</v>
      </c>
      <c r="U643" s="20">
        <f>+T645*T646/T643/T644</f>
        <v>0.37499999999999967</v>
      </c>
    </row>
    <row r="644" spans="2:20" ht="15">
      <c r="B644" s="21">
        <f>+(-B639-B642)/(2*B638)</f>
        <v>-0.3998533729896288</v>
      </c>
      <c r="D644" s="46">
        <f>+B634*B630/B631</f>
        <v>0.17998200000000003</v>
      </c>
      <c r="E644" s="20">
        <f>-LOG10(B634)</f>
        <v>4.7447274948966935</v>
      </c>
      <c r="F644" s="20" t="s">
        <v>444</v>
      </c>
      <c r="I644" s="15" t="s">
        <v>2</v>
      </c>
      <c r="J644" s="21">
        <v>2.75</v>
      </c>
      <c r="K644" s="21"/>
      <c r="N644" s="7" t="s">
        <v>82</v>
      </c>
      <c r="O644" s="20">
        <f>1-0.6</f>
        <v>0.4</v>
      </c>
      <c r="Q644" s="20">
        <f>+O644/$O$647</f>
        <v>0.1</v>
      </c>
      <c r="S644" s="21">
        <f>1-J648</f>
        <v>1.2404082057734578</v>
      </c>
      <c r="T644" s="42">
        <f>+S644/$S$647</f>
        <v>0.31010205144336445</v>
      </c>
    </row>
    <row r="645" spans="4:20" ht="15">
      <c r="D645" s="44">
        <f>-LOG10(D644)</f>
        <v>0.7447709265165013</v>
      </c>
      <c r="E645" s="20">
        <f>+LOG10(B631)</f>
        <v>-4.398055805095042</v>
      </c>
      <c r="F645" s="20" t="s">
        <v>445</v>
      </c>
      <c r="G645" s="20" t="s">
        <v>447</v>
      </c>
      <c r="I645" s="15" t="s">
        <v>4</v>
      </c>
      <c r="J645" s="21">
        <f>1-0.375</f>
        <v>0.625</v>
      </c>
      <c r="K645" s="21"/>
      <c r="N645" s="7" t="s">
        <v>64</v>
      </c>
      <c r="O645" s="20">
        <v>0.6</v>
      </c>
      <c r="Q645" s="20">
        <f>+O645/$O$647</f>
        <v>0.15</v>
      </c>
      <c r="S645" s="21">
        <f>1+J648</f>
        <v>0.7595917942265423</v>
      </c>
      <c r="T645" s="42">
        <f>+S645/$S$647</f>
        <v>0.18989794855663558</v>
      </c>
    </row>
    <row r="646" spans="1:20" ht="15">
      <c r="A646" s="20" t="s">
        <v>431</v>
      </c>
      <c r="B646" s="45">
        <f>+B630+B632</f>
        <v>0.39985337298957324</v>
      </c>
      <c r="D646" s="42">
        <f>14-D645</f>
        <v>13.255229073483498</v>
      </c>
      <c r="E646" s="20">
        <f>+LOG10(B630)</f>
        <v>-0.3980992367148489</v>
      </c>
      <c r="F646" s="20" t="s">
        <v>446</v>
      </c>
      <c r="G646" s="20" t="s">
        <v>448</v>
      </c>
      <c r="I646" s="15" t="s">
        <v>7</v>
      </c>
      <c r="J646" s="21">
        <f>+(J644^2)-4*J643*J645</f>
        <v>6</v>
      </c>
      <c r="K646" s="21"/>
      <c r="N646" s="7" t="s">
        <v>20</v>
      </c>
      <c r="O646" s="20">
        <v>0.6</v>
      </c>
      <c r="Q646" s="20">
        <f>+O646/$O$647</f>
        <v>0.15</v>
      </c>
      <c r="S646" s="21">
        <f>1+J648</f>
        <v>0.7595917942265423</v>
      </c>
      <c r="T646" s="42">
        <f>+S646/$S$647</f>
        <v>0.18989794855663558</v>
      </c>
    </row>
    <row r="647" spans="1:20" ht="15">
      <c r="A647" s="20" t="s">
        <v>432</v>
      </c>
      <c r="B647" s="45">
        <f>0.00000000000001+B632*B631</f>
        <v>3.221629787612192E-14</v>
      </c>
      <c r="E647" s="44">
        <f>+E644+E645-E646</f>
        <v>0.7447709265165009</v>
      </c>
      <c r="I647" s="15" t="s">
        <v>6</v>
      </c>
      <c r="J647" s="21">
        <f>+SQRT(J646)</f>
        <v>2.449489742783178</v>
      </c>
      <c r="K647" s="21"/>
      <c r="O647" s="20">
        <f>+SUM(O643:O646)</f>
        <v>4</v>
      </c>
      <c r="Q647" s="20">
        <f>+SUM(Q643:Q646)</f>
        <v>1</v>
      </c>
      <c r="S647" s="20">
        <f>+SUM(S643:S646)</f>
        <v>4</v>
      </c>
      <c r="T647" s="20">
        <f>+SUM(T643:T646)</f>
        <v>1</v>
      </c>
    </row>
    <row r="648" spans="1:11" ht="15">
      <c r="A648" s="20" t="s">
        <v>433</v>
      </c>
      <c r="B648" s="45">
        <f>+B632*0.00000000000001</f>
        <v>5.555555555555555E-24</v>
      </c>
      <c r="E648" s="42">
        <f>14-E647</f>
        <v>13.255229073483498</v>
      </c>
      <c r="I648" s="30" t="s">
        <v>8</v>
      </c>
      <c r="J648" s="52">
        <f>+(-J644+J647)/(2*J643)</f>
        <v>-0.2404082057734577</v>
      </c>
      <c r="K648" s="52"/>
    </row>
    <row r="649" spans="1:11" ht="15">
      <c r="A649" s="42">
        <f>-LOG10(B649)</f>
        <v>8.701998888592483</v>
      </c>
      <c r="B649" s="21">
        <v>1.9861E-09</v>
      </c>
      <c r="I649" s="30" t="s">
        <v>9</v>
      </c>
      <c r="J649" s="21">
        <f>+(-J644-J647)/(2*J643)</f>
        <v>-4.159591794226542</v>
      </c>
      <c r="K649" s="21"/>
    </row>
    <row r="651" spans="1:20" ht="15">
      <c r="A651" s="20" t="s">
        <v>434</v>
      </c>
      <c r="B651" s="20">
        <f>+B632^2</f>
        <v>3.0864197530864196E-19</v>
      </c>
      <c r="N651" s="7" t="s">
        <v>58</v>
      </c>
      <c r="O651" s="32">
        <f>1/78</f>
        <v>0.01282051282051282</v>
      </c>
      <c r="P651" s="32"/>
      <c r="Q651" s="35">
        <f>+O651/$O$653</f>
        <v>0.5411764705882353</v>
      </c>
      <c r="R651" s="58">
        <f>+Q651*600</f>
        <v>324.70588235294116</v>
      </c>
      <c r="S651" s="58">
        <f>+Q651*600</f>
        <v>324.70588235294116</v>
      </c>
      <c r="T651" s="35">
        <f>+S651/S653</f>
        <v>0.6494117647058824</v>
      </c>
    </row>
    <row r="652" spans="1:20" ht="15">
      <c r="A652" s="20" t="s">
        <v>435</v>
      </c>
      <c r="B652" s="46">
        <f>+B651*B631</f>
        <v>1.2342387708956624E-23</v>
      </c>
      <c r="N652" s="7" t="s">
        <v>59</v>
      </c>
      <c r="O652" s="32">
        <f>1/92</f>
        <v>0.010869565217391304</v>
      </c>
      <c r="P652" s="32"/>
      <c r="Q652" s="35">
        <f>+O652/$O$653</f>
        <v>0.4588235294117647</v>
      </c>
      <c r="R652" s="58">
        <f>500-R651</f>
        <v>175.29411764705884</v>
      </c>
      <c r="S652" s="58">
        <f>+Q652*R653</f>
        <v>175.29411764705884</v>
      </c>
      <c r="T652" s="35">
        <f>+S652/S653</f>
        <v>0.3505882352941177</v>
      </c>
    </row>
    <row r="653" spans="1:20" ht="15">
      <c r="A653" s="20" t="s">
        <v>429</v>
      </c>
      <c r="B653" s="46">
        <f>+B632+B630</f>
        <v>0.39985337298957324</v>
      </c>
      <c r="O653" s="32">
        <f>+O651+O652</f>
        <v>0.023690078037904124</v>
      </c>
      <c r="P653" s="32"/>
      <c r="Q653" s="32">
        <f>+Q651+Q652</f>
        <v>1</v>
      </c>
      <c r="R653" s="58">
        <f>+R652/Q652</f>
        <v>382.0512820512821</v>
      </c>
      <c r="S653" s="60">
        <f>+S651+S652</f>
        <v>500</v>
      </c>
      <c r="T653" s="60">
        <f>+T651+T652</f>
        <v>1</v>
      </c>
    </row>
    <row r="654" spans="1:2" ht="15">
      <c r="A654" s="20" t="s">
        <v>436</v>
      </c>
      <c r="B654" s="46">
        <f>+(B651+B652)/B653</f>
        <v>7.719187545890716E-19</v>
      </c>
    </row>
    <row r="655" spans="1:18" ht="15">
      <c r="A655" s="20" t="s">
        <v>10</v>
      </c>
      <c r="B655" s="20">
        <f>+SQRT(B654)</f>
        <v>8.785890703787929E-10</v>
      </c>
      <c r="I655" s="15" t="s">
        <v>0</v>
      </c>
      <c r="J655" s="35">
        <v>1</v>
      </c>
      <c r="K655" s="35"/>
      <c r="O655" s="21">
        <v>0.01</v>
      </c>
      <c r="P655" s="21"/>
      <c r="Q655" s="21">
        <f>+SQRT(O655*O656)</f>
        <v>0.03361463227264072</v>
      </c>
      <c r="R655" s="21">
        <f>+O655*O656</f>
        <v>0.001129943502824859</v>
      </c>
    </row>
    <row r="656" spans="1:18" ht="15">
      <c r="A656" s="20" t="s">
        <v>12</v>
      </c>
      <c r="B656" s="20">
        <f>-LOG10(B655)</f>
        <v>9.056214203647189</v>
      </c>
      <c r="I656" s="15" t="s">
        <v>2</v>
      </c>
      <c r="J656" s="21">
        <f>+O655+O657</f>
        <v>0.0947457627118644</v>
      </c>
      <c r="K656" s="21"/>
      <c r="O656" s="35">
        <f>0.02/0.177</f>
        <v>0.11299435028248589</v>
      </c>
      <c r="P656" s="35"/>
      <c r="Q656" s="35">
        <f>+Q655+O657</f>
        <v>0.11836039498450512</v>
      </c>
      <c r="R656" s="21">
        <f>+O657^2</f>
        <v>0.007181844297615627</v>
      </c>
    </row>
    <row r="657" spans="9:18" ht="15">
      <c r="I657" s="15" t="s">
        <v>4</v>
      </c>
      <c r="J657" s="21">
        <f>-O658</f>
        <v>-0.001129943502824859</v>
      </c>
      <c r="K657" s="21"/>
      <c r="O657" s="32">
        <f>0.015/0.177</f>
        <v>0.0847457627118644</v>
      </c>
      <c r="P657" s="32"/>
      <c r="Q657" s="42">
        <f>-LOG10(Q656)</f>
        <v>0.9267935942100799</v>
      </c>
      <c r="R657" s="21">
        <v>1E-14</v>
      </c>
    </row>
    <row r="658" spans="9:18" ht="15">
      <c r="I658" s="15" t="s">
        <v>7</v>
      </c>
      <c r="J658" s="21">
        <f>+(J656^2)-4*J655*J657</f>
        <v>0.013496533563152351</v>
      </c>
      <c r="K658" s="21"/>
      <c r="O658" s="21">
        <f>+O655*O656</f>
        <v>0.001129943502824859</v>
      </c>
      <c r="P658" s="21"/>
      <c r="R658" s="21">
        <f>+R655+R656+R657</f>
        <v>0.008311787800450486</v>
      </c>
    </row>
    <row r="659" spans="9:18" ht="15">
      <c r="I659" s="15" t="s">
        <v>6</v>
      </c>
      <c r="J659" s="21">
        <f>+SQRT(J658)</f>
        <v>0.11617458225942691</v>
      </c>
      <c r="K659" s="21"/>
      <c r="O659" s="21">
        <f>+O655*O658</f>
        <v>1.129943502824859E-05</v>
      </c>
      <c r="P659" s="21"/>
      <c r="R659" s="20">
        <f>+SQRT(R658)</f>
        <v>0.09116900679754325</v>
      </c>
    </row>
    <row r="660" spans="1:18" ht="15">
      <c r="A660" s="20">
        <v>63.01</v>
      </c>
      <c r="B660" s="20">
        <v>33</v>
      </c>
      <c r="C660" s="20">
        <v>94</v>
      </c>
      <c r="D660" s="20">
        <v>66</v>
      </c>
      <c r="E660" s="58">
        <f>+B664-C664</f>
        <v>-16.092683700999842</v>
      </c>
      <c r="I660" s="30" t="s">
        <v>8</v>
      </c>
      <c r="J660" s="50">
        <f>+(-J656+J659)/(2*J655)</f>
        <v>0.010714409773781255</v>
      </c>
      <c r="K660" s="50"/>
      <c r="L660" s="32">
        <f>+J660+O657</f>
        <v>0.09546017248564566</v>
      </c>
      <c r="M660" s="32"/>
      <c r="N660" s="42">
        <f>-LOG10(L660)</f>
        <v>1.0201777852484628</v>
      </c>
      <c r="O660" s="35"/>
      <c r="P660" s="35"/>
      <c r="R660" s="42">
        <f>-LOG10(R659)</f>
        <v>1.0401527764134681</v>
      </c>
    </row>
    <row r="661" spans="2:11" ht="15">
      <c r="B661" s="20">
        <v>1.2</v>
      </c>
      <c r="C661" s="20">
        <v>1.5</v>
      </c>
      <c r="D661" s="20">
        <v>1.4</v>
      </c>
      <c r="E661" s="58">
        <f>+D664-C664</f>
        <v>-7.713061418822408</v>
      </c>
      <c r="I661" s="30" t="s">
        <v>9</v>
      </c>
      <c r="J661" s="21">
        <f>+(-J656-J659)/(2*J655)</f>
        <v>-0.10546017248564565</v>
      </c>
      <c r="K661" s="21"/>
    </row>
    <row r="662" spans="2:5" ht="15">
      <c r="B662" s="35">
        <f>+B660/$A$660</f>
        <v>0.5237263926360896</v>
      </c>
      <c r="C662" s="35">
        <f>+C660/$A$660</f>
        <v>1.4918266941755278</v>
      </c>
      <c r="D662" s="35">
        <f>+D660/$A$660</f>
        <v>1.047452785272179</v>
      </c>
      <c r="E662" s="54">
        <f>+E661/E660</f>
        <v>0.47928994082840226</v>
      </c>
    </row>
    <row r="663" spans="2:16" ht="15">
      <c r="B663" s="58">
        <f>100/B661</f>
        <v>83.33333333333334</v>
      </c>
      <c r="C663" s="58">
        <f>100/C661</f>
        <v>66.66666666666667</v>
      </c>
      <c r="D663" s="58">
        <f>100/D661</f>
        <v>71.42857142857143</v>
      </c>
      <c r="E663" s="54">
        <f>1-E662</f>
        <v>0.5207100591715977</v>
      </c>
      <c r="I663" s="15" t="s">
        <v>0</v>
      </c>
      <c r="J663" s="35">
        <v>1</v>
      </c>
      <c r="K663" s="35"/>
      <c r="O663" s="21">
        <v>0.01</v>
      </c>
      <c r="P663" s="21"/>
    </row>
    <row r="664" spans="2:16" ht="15">
      <c r="B664" s="42">
        <f>+B662/(B663/1000)</f>
        <v>6.284716711633074</v>
      </c>
      <c r="C664" s="58">
        <f>+C662/(C663/1000)</f>
        <v>22.377400412632916</v>
      </c>
      <c r="D664" s="58">
        <f>+D662/(D663/1000)</f>
        <v>14.664338993810508</v>
      </c>
      <c r="I664" s="15" t="s">
        <v>2</v>
      </c>
      <c r="J664" s="21">
        <f>+O666+O663</f>
        <v>0.0947458627118644</v>
      </c>
      <c r="K664" s="21"/>
      <c r="O664" s="35">
        <f>0.02/0.177</f>
        <v>0.11299435028248589</v>
      </c>
      <c r="P664" s="35"/>
    </row>
    <row r="665" spans="9:16" ht="15">
      <c r="I665" s="15" t="s">
        <v>4</v>
      </c>
      <c r="J665" s="21">
        <f>-O667</f>
        <v>-0.001129943502824859</v>
      </c>
      <c r="K665" s="21"/>
      <c r="O665" s="32">
        <f>0.015/0.177</f>
        <v>0.0847457627118644</v>
      </c>
      <c r="P665" s="32"/>
    </row>
    <row r="666" spans="9:16" ht="15">
      <c r="I666" s="15" t="s">
        <v>7</v>
      </c>
      <c r="J666" s="21">
        <f>+(J664^2)-4*J663*J665</f>
        <v>0.013496552512314894</v>
      </c>
      <c r="K666" s="21"/>
      <c r="O666" s="21">
        <f>+O665+0.0000001</f>
        <v>0.0847458627118644</v>
      </c>
      <c r="P666" s="21"/>
    </row>
    <row r="667" spans="9:16" ht="15">
      <c r="I667" s="15" t="s">
        <v>6</v>
      </c>
      <c r="J667" s="21">
        <f>+SQRT(J666)</f>
        <v>0.11617466381408166</v>
      </c>
      <c r="K667" s="21"/>
      <c r="O667" s="21">
        <f>+O664*O663</f>
        <v>0.001129943502824859</v>
      </c>
      <c r="P667" s="21"/>
    </row>
    <row r="668" spans="1:16" ht="15">
      <c r="A668" s="51" t="s">
        <v>65</v>
      </c>
      <c r="B668" s="51" t="s">
        <v>82</v>
      </c>
      <c r="C668" s="51" t="s">
        <v>64</v>
      </c>
      <c r="D668" s="51" t="s">
        <v>20</v>
      </c>
      <c r="E668" s="51" t="s">
        <v>29</v>
      </c>
      <c r="I668" s="30" t="s">
        <v>8</v>
      </c>
      <c r="J668" s="50">
        <f>+(-J664+J667)/(2*J663)</f>
        <v>0.01071440055110863</v>
      </c>
      <c r="K668" s="50"/>
      <c r="L668" s="32">
        <f>+J668+O665+0.0000001</f>
        <v>0.09546026326297304</v>
      </c>
      <c r="M668" s="32"/>
      <c r="N668" s="42">
        <f>-LOG10(L668)</f>
        <v>1.020177372258704</v>
      </c>
      <c r="O668" s="35"/>
      <c r="P668" s="35"/>
    </row>
    <row r="669" spans="1:11" ht="15">
      <c r="A669" s="20">
        <v>0.366</v>
      </c>
      <c r="B669" s="20">
        <v>0.366</v>
      </c>
      <c r="C669" s="20">
        <v>0.634</v>
      </c>
      <c r="D669" s="20">
        <v>0.634</v>
      </c>
      <c r="E669" s="200">
        <f>+C669*D669/(A669*B669)</f>
        <v>3.0006569321269674</v>
      </c>
      <c r="I669" s="30" t="s">
        <v>9</v>
      </c>
      <c r="J669" s="21">
        <f>+(-J664-J667)/(2*J663)</f>
        <v>-0.10546026326297303</v>
      </c>
      <c r="K669" s="21"/>
    </row>
    <row r="670" ht="15">
      <c r="B670" s="35">
        <v>1</v>
      </c>
    </row>
    <row r="671" spans="2:17" ht="15">
      <c r="B671" s="20">
        <f>SUM(B669:B670)</f>
        <v>1.366</v>
      </c>
      <c r="I671" s="15" t="s">
        <v>0</v>
      </c>
      <c r="J671" s="35">
        <v>1</v>
      </c>
      <c r="K671" s="35"/>
      <c r="O671" s="21">
        <v>0.01</v>
      </c>
      <c r="P671" s="21"/>
      <c r="Q671" s="21">
        <f>+SQRT(O671*O672)</f>
        <v>0.03162277660168379</v>
      </c>
    </row>
    <row r="672" spans="1:17" ht="15">
      <c r="A672" s="21">
        <f>+A669-E679</f>
        <v>0.18611541656051564</v>
      </c>
      <c r="B672" s="21">
        <f>+B671-E679</f>
        <v>1.1861154165605157</v>
      </c>
      <c r="C672" s="21">
        <f>+C669+E679</f>
        <v>0.8138845834394843</v>
      </c>
      <c r="D672" s="21">
        <f>+D669+E679</f>
        <v>0.8138845834394843</v>
      </c>
      <c r="E672" s="200">
        <f>+C672*D672/(A672*B672)</f>
        <v>3.0006569321269683</v>
      </c>
      <c r="I672" s="15" t="s">
        <v>2</v>
      </c>
      <c r="J672" s="21">
        <f>+O674+O671</f>
        <v>0.0110001</v>
      </c>
      <c r="K672" s="21"/>
      <c r="O672" s="35">
        <v>0.1</v>
      </c>
      <c r="P672" s="35"/>
      <c r="Q672" s="35">
        <f>+Q671+O673</f>
        <v>0.03262277660168379</v>
      </c>
    </row>
    <row r="673" spans="3:17" ht="15">
      <c r="C673" s="35">
        <f>+C669^2</f>
        <v>0.40195600000000004</v>
      </c>
      <c r="D673" s="35">
        <f>+E669-1</f>
        <v>2.0006569321269674</v>
      </c>
      <c r="E673" s="35">
        <f>D673</f>
        <v>2.0006569321269674</v>
      </c>
      <c r="I673" s="15" t="s">
        <v>4</v>
      </c>
      <c r="J673" s="21">
        <f>-O675</f>
        <v>-0.001</v>
      </c>
      <c r="K673" s="21"/>
      <c r="O673" s="32">
        <v>0.001</v>
      </c>
      <c r="P673" s="32"/>
      <c r="Q673" s="42">
        <f>-LOG10(Q672)</f>
        <v>1.4864790778919619</v>
      </c>
    </row>
    <row r="674" spans="3:16" ht="15">
      <c r="C674" s="42">
        <f>+C669*2</f>
        <v>1.268</v>
      </c>
      <c r="D674" s="42">
        <f>+C678-C674</f>
        <v>-6.465137806443908</v>
      </c>
      <c r="E674" s="21">
        <f>D674</f>
        <v>-6.465137806443908</v>
      </c>
      <c r="I674" s="15" t="s">
        <v>7</v>
      </c>
      <c r="J674" s="21">
        <f>+(J672^2)-4*J671*J673</f>
        <v>0.00412100220001</v>
      </c>
      <c r="K674" s="21"/>
      <c r="O674" s="21">
        <f>+O673+0.0000001</f>
        <v>0.0010001</v>
      </c>
      <c r="P674" s="21"/>
    </row>
    <row r="675" spans="3:16" ht="15">
      <c r="C675" s="35">
        <f>+A669*B671</f>
        <v>0.499956</v>
      </c>
      <c r="D675" s="35">
        <f>+C677-C673</f>
        <v>1.0982404371584702</v>
      </c>
      <c r="E675" s="21">
        <f>D675</f>
        <v>1.0982404371584702</v>
      </c>
      <c r="I675" s="15" t="s">
        <v>6</v>
      </c>
      <c r="J675" s="21">
        <f>+SQRT(J674)</f>
        <v>0.06419503251817854</v>
      </c>
      <c r="K675" s="21"/>
      <c r="O675" s="21">
        <f>+O672*O671</f>
        <v>0.001</v>
      </c>
      <c r="P675" s="21"/>
    </row>
    <row r="676" spans="3:16" ht="15">
      <c r="C676" s="20">
        <f>+A669+B671</f>
        <v>1.7320000000000002</v>
      </c>
      <c r="E676" s="21">
        <f>+(E674^2)-4*E673*E675</f>
        <v>33.00919748133736</v>
      </c>
      <c r="I676" s="30" t="s">
        <v>8</v>
      </c>
      <c r="J676" s="50">
        <f>+(-J672+J675)/(2*J671)</f>
        <v>0.02659746625908927</v>
      </c>
      <c r="K676" s="50"/>
      <c r="L676" s="32">
        <f>+J676+O673+0.0000001</f>
        <v>0.02759756625908927</v>
      </c>
      <c r="M676" s="32"/>
      <c r="N676" s="42">
        <f>-LOG10(L676)</f>
        <v>1.5591292152844747</v>
      </c>
      <c r="O676" s="35"/>
      <c r="P676" s="35"/>
    </row>
    <row r="677" spans="3:11" ht="15">
      <c r="C677" s="35">
        <f>+E669*C675</f>
        <v>1.5001964371584702</v>
      </c>
      <c r="E677" s="21">
        <f>+SQRT(E676)</f>
        <v>5.745363128761955</v>
      </c>
      <c r="I677" s="30" t="s">
        <v>9</v>
      </c>
      <c r="J677" s="21">
        <f>+(-J672-J675)/(2*J671)</f>
        <v>-0.03759756625908927</v>
      </c>
      <c r="K677" s="21"/>
    </row>
    <row r="678" spans="3:5" ht="15">
      <c r="C678" s="35">
        <f>+E669*-C676</f>
        <v>-5.197137806443908</v>
      </c>
      <c r="E678" s="21">
        <f>+(-E674+E677)/(2*E673)</f>
        <v>3.0516228792470828</v>
      </c>
    </row>
    <row r="679" spans="5:16" ht="15">
      <c r="E679" s="50">
        <f>+(-E674-E677)/(2*E673)</f>
        <v>0.17988458343948435</v>
      </c>
      <c r="I679" s="15" t="s">
        <v>0</v>
      </c>
      <c r="J679" s="35">
        <v>1</v>
      </c>
      <c r="K679" s="35"/>
      <c r="O679" s="42">
        <f>4.1/(0.0821*0.15*298.15)</f>
        <v>1.116643717595629</v>
      </c>
      <c r="P679" s="42"/>
    </row>
    <row r="680" spans="9:16" ht="15">
      <c r="I680" s="15" t="s">
        <v>2</v>
      </c>
      <c r="J680" s="21">
        <f>O681</f>
        <v>0.002310351518216845</v>
      </c>
      <c r="K680" s="21"/>
      <c r="O680" s="42">
        <f>+O679-1</f>
        <v>0.11664371759562897</v>
      </c>
      <c r="P680" s="42"/>
    </row>
    <row r="681" spans="1:17" ht="15">
      <c r="A681" s="51" t="s">
        <v>65</v>
      </c>
      <c r="B681" s="51" t="s">
        <v>82</v>
      </c>
      <c r="C681" s="51" t="s">
        <v>64</v>
      </c>
      <c r="D681" s="51" t="s">
        <v>20</v>
      </c>
      <c r="E681" s="51" t="s">
        <v>29</v>
      </c>
      <c r="I681" s="15" t="s">
        <v>4</v>
      </c>
      <c r="J681" s="21">
        <f>-O681</f>
        <v>-0.002310351518216845</v>
      </c>
      <c r="K681" s="21"/>
      <c r="O681" s="21">
        <f>+(O680*0.15)^2/(0.15-(O680*0.15))</f>
        <v>0.002310351518216845</v>
      </c>
      <c r="P681" s="21"/>
      <c r="Q681" s="21"/>
    </row>
    <row r="682" spans="1:17" ht="15">
      <c r="A682" s="20">
        <v>0.366</v>
      </c>
      <c r="B682" s="20">
        <v>0.366</v>
      </c>
      <c r="C682" s="20">
        <v>0.634</v>
      </c>
      <c r="D682" s="20">
        <v>0.634</v>
      </c>
      <c r="E682" s="200">
        <f>+C682*D682/(A682*B682)</f>
        <v>3.0006569321269674</v>
      </c>
      <c r="I682" s="15" t="s">
        <v>7</v>
      </c>
      <c r="J682" s="21">
        <f>+(J680^2)-4*J679*J681</f>
        <v>0.009246743797005106</v>
      </c>
      <c r="K682" s="21"/>
      <c r="O682" s="20">
        <f>+SQRT(O681)</f>
        <v>0.04806611611329591</v>
      </c>
      <c r="Q682" s="42">
        <f>-LOG10(O682)</f>
        <v>1.3181609687535945</v>
      </c>
    </row>
    <row r="683" spans="2:11" ht="15">
      <c r="B683" s="35">
        <v>-0.27</v>
      </c>
      <c r="I683" s="15" t="s">
        <v>6</v>
      </c>
      <c r="J683" s="21">
        <f>+SQRT(J682)</f>
        <v>0.09615999062502609</v>
      </c>
      <c r="K683" s="21"/>
    </row>
    <row r="684" spans="2:13" ht="15">
      <c r="B684" s="20">
        <f>SUM(B682:B683)</f>
        <v>0.09599999999999997</v>
      </c>
      <c r="I684" s="30" t="s">
        <v>8</v>
      </c>
      <c r="J684" s="50">
        <f>+(-J680+J683)/(2*J679)</f>
        <v>0.04692481955340462</v>
      </c>
      <c r="K684" s="50"/>
      <c r="L684" s="42">
        <f>-LOG10(J684)</f>
        <v>1.3285973887569373</v>
      </c>
      <c r="M684" s="42"/>
    </row>
    <row r="685" spans="1:11" ht="15">
      <c r="A685" s="21">
        <f>+A682-E692</f>
        <v>0.4696215401952232</v>
      </c>
      <c r="B685" s="21">
        <f>+B684-E692</f>
        <v>0.19962154019522313</v>
      </c>
      <c r="C685" s="21">
        <f>+C682+E692</f>
        <v>0.5303784598047768</v>
      </c>
      <c r="D685" s="21">
        <f>+D682+E692</f>
        <v>0.5303784598047768</v>
      </c>
      <c r="E685" s="200">
        <f>+C685*D685/(A685*B685)</f>
        <v>3.0006569321269647</v>
      </c>
      <c r="I685" s="30" t="s">
        <v>9</v>
      </c>
      <c r="J685" s="21">
        <f>+(-J680-J683)/(2*J679)</f>
        <v>-0.04923517107162147</v>
      </c>
      <c r="K685" s="21"/>
    </row>
    <row r="686" spans="3:5" ht="15">
      <c r="C686" s="35">
        <f>+C682^2</f>
        <v>0.40195600000000004</v>
      </c>
      <c r="D686" s="35">
        <f>+E682-1</f>
        <v>2.0006569321269674</v>
      </c>
      <c r="E686" s="35">
        <f>D686</f>
        <v>2.0006569321269674</v>
      </c>
    </row>
    <row r="687" spans="3:16" ht="15">
      <c r="C687" s="42">
        <f>+C682*2</f>
        <v>1.268</v>
      </c>
      <c r="D687" s="42">
        <f>+C691-C687</f>
        <v>-2.6543035026426587</v>
      </c>
      <c r="E687" s="21">
        <f>D687</f>
        <v>-2.6543035026426587</v>
      </c>
      <c r="I687" s="15" t="s">
        <v>0</v>
      </c>
      <c r="J687" s="35">
        <v>1</v>
      </c>
      <c r="K687" s="35"/>
      <c r="N687" s="20">
        <f>+SQRT(0.1*0.00056)</f>
        <v>0.0074833147735478825</v>
      </c>
      <c r="O687" s="42">
        <f>-LOG10(N687)</f>
        <v>2.1259059864968997</v>
      </c>
      <c r="P687" s="42"/>
    </row>
    <row r="688" spans="3:11" ht="15">
      <c r="C688" s="35">
        <f>+A682*B684</f>
        <v>0.03513599999999999</v>
      </c>
      <c r="D688" s="35">
        <f>+C690-C686</f>
        <v>-0.29652491803278697</v>
      </c>
      <c r="E688" s="21">
        <f>D688</f>
        <v>-0.29652491803278697</v>
      </c>
      <c r="I688" s="15" t="s">
        <v>2</v>
      </c>
      <c r="J688" s="21">
        <v>0.00056</v>
      </c>
      <c r="K688" s="21"/>
    </row>
    <row r="689" spans="3:11" ht="15">
      <c r="C689" s="20">
        <f>+A682+B684</f>
        <v>0.46199999999999997</v>
      </c>
      <c r="E689" s="21">
        <f>+(E687^2)-4*E686*E688</f>
        <v>9.41830561538379</v>
      </c>
      <c r="I689" s="15" t="s">
        <v>4</v>
      </c>
      <c r="J689" s="21">
        <v>-5.6E-05</v>
      </c>
      <c r="K689" s="21"/>
    </row>
    <row r="690" spans="3:11" ht="15">
      <c r="C690" s="35">
        <f>+E682*C688</f>
        <v>0.10543108196721308</v>
      </c>
      <c r="E690" s="21">
        <f>+SQRT(E689)</f>
        <v>3.0689258080611515</v>
      </c>
      <c r="I690" s="15" t="s">
        <v>7</v>
      </c>
      <c r="J690" s="21">
        <f>+(J688^2)-4*J687*J689</f>
        <v>0.0002243136</v>
      </c>
      <c r="K690" s="21"/>
    </row>
    <row r="691" spans="3:11" ht="15">
      <c r="C691" s="35">
        <f>+E682*-C689</f>
        <v>-1.386303502642659</v>
      </c>
      <c r="E691" s="21">
        <f>+(-E687+E690)/(2*E686)</f>
        <v>1.4303375103444766</v>
      </c>
      <c r="I691" s="15" t="s">
        <v>6</v>
      </c>
      <c r="J691" s="21">
        <f>+SQRT(J690)</f>
        <v>0.014977102523519028</v>
      </c>
      <c r="K691" s="21"/>
    </row>
    <row r="692" spans="5:13" ht="15">
      <c r="E692" s="50">
        <f>+(-E687-E690)/(2*E686)</f>
        <v>-0.10362154019522316</v>
      </c>
      <c r="I692" s="30" t="s">
        <v>8</v>
      </c>
      <c r="J692" s="50">
        <f>+(-J688+J691)/(2*J687)</f>
        <v>0.007208551261759514</v>
      </c>
      <c r="K692" s="50"/>
      <c r="L692" s="42">
        <f>-LOG10(J692)</f>
        <v>2.14215200882342</v>
      </c>
      <c r="M692" s="42"/>
    </row>
    <row r="693" spans="9:11" ht="15">
      <c r="I693" s="30" t="s">
        <v>9</v>
      </c>
      <c r="J693" s="21">
        <f>+(-J688-J691)/(2*J687)</f>
        <v>-0.007768551261759514</v>
      </c>
      <c r="K693" s="21"/>
    </row>
    <row r="695" spans="1:14" ht="15">
      <c r="A695" s="20" t="s">
        <v>438</v>
      </c>
      <c r="B695" s="35">
        <f>48.32/0.0821/673</f>
        <v>0.8745179020981552</v>
      </c>
      <c r="I695" s="15" t="s">
        <v>0</v>
      </c>
      <c r="J695" s="35">
        <v>1</v>
      </c>
      <c r="K695" s="35"/>
      <c r="N695" s="20">
        <f>3.36/22.414</f>
        <v>0.14990630855715176</v>
      </c>
    </row>
    <row r="696" spans="1:14" ht="15">
      <c r="A696" s="20" t="s">
        <v>438</v>
      </c>
      <c r="B696" s="35">
        <f>+B695*3/7</f>
        <v>0.37479338661349504</v>
      </c>
      <c r="I696" s="15" t="s">
        <v>2</v>
      </c>
      <c r="J696" s="21">
        <v>1.8E-05</v>
      </c>
      <c r="K696" s="21"/>
      <c r="N696" s="20">
        <f>+N695*17.03</f>
        <v>2.5529044347282945</v>
      </c>
    </row>
    <row r="697" spans="1:14" ht="15">
      <c r="A697" s="20" t="s">
        <v>439</v>
      </c>
      <c r="B697" s="35">
        <f>+B695*4/7</f>
        <v>0.49972451548466007</v>
      </c>
      <c r="I697" s="15" t="s">
        <v>4</v>
      </c>
      <c r="J697" s="21">
        <f>-N700</f>
        <v>-2.6022004151358937E-05</v>
      </c>
      <c r="K697" s="21"/>
      <c r="N697" s="20">
        <f>+N696+100</f>
        <v>102.55290443472829</v>
      </c>
    </row>
    <row r="698" spans="1:14" ht="15">
      <c r="A698" s="20" t="s">
        <v>441</v>
      </c>
      <c r="B698" s="35">
        <f>+B696*1/3</f>
        <v>0.12493112887116502</v>
      </c>
      <c r="I698" s="15" t="s">
        <v>7</v>
      </c>
      <c r="J698" s="21">
        <f>+(J696^2)-4*J695*J697</f>
        <v>0.00010408834060543575</v>
      </c>
      <c r="K698" s="21"/>
      <c r="N698" s="20">
        <f>+N697/0.989</f>
        <v>103.69353330103972</v>
      </c>
    </row>
    <row r="699" spans="1:14" ht="15">
      <c r="A699" s="20" t="s">
        <v>442</v>
      </c>
      <c r="B699" s="35">
        <f>0.375*2/3</f>
        <v>0.25</v>
      </c>
      <c r="I699" s="15" t="s">
        <v>6</v>
      </c>
      <c r="J699" s="21">
        <f>+SQRT(J698)</f>
        <v>0.01020236936233127</v>
      </c>
      <c r="K699" s="21"/>
      <c r="N699" s="42">
        <f>+N695/N698*1000</f>
        <v>1.4456668972977187</v>
      </c>
    </row>
    <row r="700" spans="1:14" ht="15">
      <c r="A700" s="20" t="s">
        <v>440</v>
      </c>
      <c r="B700" s="35">
        <f>+B697/2</f>
        <v>0.24986225774233004</v>
      </c>
      <c r="I700" s="30" t="s">
        <v>8</v>
      </c>
      <c r="J700" s="50">
        <f>+(-J696+J699)/(2*J695)</f>
        <v>0.005092184681165635</v>
      </c>
      <c r="K700" s="50"/>
      <c r="L700" s="42">
        <f>-LOG10(J700)</f>
        <v>2.2930958539271233</v>
      </c>
      <c r="M700" s="42"/>
      <c r="N700" s="20">
        <f>+N699*0.000018</f>
        <v>2.6022004151358937E-05</v>
      </c>
    </row>
    <row r="701" spans="1:13" ht="15">
      <c r="A701" s="20" t="s">
        <v>443</v>
      </c>
      <c r="B701" s="35">
        <f>+B697/2</f>
        <v>0.24986225774233004</v>
      </c>
      <c r="I701" s="30" t="s">
        <v>9</v>
      </c>
      <c r="J701" s="21">
        <f>+(-J696-J699)/(2*J695)</f>
        <v>-0.0051101846811656354</v>
      </c>
      <c r="K701" s="21"/>
      <c r="L701" s="42">
        <f>14-L700</f>
        <v>11.706904146072876</v>
      </c>
      <c r="M701" s="42"/>
    </row>
    <row r="703" spans="14:18" ht="15">
      <c r="N703" s="7" t="s">
        <v>83</v>
      </c>
      <c r="O703" s="7" t="s">
        <v>86</v>
      </c>
      <c r="P703" s="7"/>
      <c r="Q703" s="7" t="s">
        <v>66</v>
      </c>
      <c r="R703" s="7"/>
    </row>
    <row r="704" spans="1:18" ht="15">
      <c r="A704" s="20">
        <v>13.8</v>
      </c>
      <c r="B704" s="60">
        <f>300*A705</f>
        <v>285</v>
      </c>
      <c r="C704" s="20">
        <f>0.95*1000</f>
        <v>950</v>
      </c>
      <c r="L704" s="68" t="s">
        <v>84</v>
      </c>
      <c r="M704" s="68"/>
      <c r="N704" s="20">
        <v>33200</v>
      </c>
      <c r="O704" s="20">
        <v>240.1</v>
      </c>
      <c r="Q704" s="20">
        <v>373</v>
      </c>
      <c r="R704" s="20">
        <f>2*N704-N705</f>
        <v>57200</v>
      </c>
    </row>
    <row r="705" spans="1:18" ht="15">
      <c r="A705" s="20">
        <v>0.95</v>
      </c>
      <c r="B705" s="58">
        <f>+B704*A704/100</f>
        <v>39.33</v>
      </c>
      <c r="C705" s="20">
        <f>+C704*A704/100</f>
        <v>131.1</v>
      </c>
      <c r="L705" s="68" t="s">
        <v>85</v>
      </c>
      <c r="M705" s="68"/>
      <c r="N705" s="20">
        <v>9200</v>
      </c>
      <c r="O705" s="20">
        <v>304.3</v>
      </c>
      <c r="R705" s="20">
        <f>+O704*2-O705</f>
        <v>175.89999999999998</v>
      </c>
    </row>
    <row r="706" spans="1:18" ht="15">
      <c r="A706" s="20">
        <v>17.03</v>
      </c>
      <c r="B706" s="58">
        <f>+B705/A706</f>
        <v>2.309453904873752</v>
      </c>
      <c r="C706" s="42">
        <f>+C705/A706</f>
        <v>7.698179682912507</v>
      </c>
      <c r="R706" s="58">
        <f>+R704-Q704*R705</f>
        <v>-8410.699999999997</v>
      </c>
    </row>
    <row r="707" spans="1:18" ht="15">
      <c r="A707" s="35">
        <f>+A704/A706</f>
        <v>0.8103347034644744</v>
      </c>
      <c r="B707" s="42">
        <f>+B706/12</f>
        <v>0.19245449207281265</v>
      </c>
      <c r="R707" s="62">
        <f>+-R706/(Q704*8.31)</f>
        <v>2.7134528959908106</v>
      </c>
    </row>
    <row r="708" spans="1:18" ht="15">
      <c r="A708" s="35">
        <f>100/A705/1000</f>
        <v>0.10526315789473685</v>
      </c>
      <c r="R708" s="35"/>
    </row>
    <row r="709" spans="1:18" ht="15">
      <c r="A709" s="42">
        <f>+A707/A708</f>
        <v>7.698179682912507</v>
      </c>
      <c r="I709" s="7" t="s">
        <v>87</v>
      </c>
      <c r="J709" s="7"/>
      <c r="K709" s="7"/>
      <c r="L709" s="7" t="s">
        <v>88</v>
      </c>
      <c r="M709" s="7"/>
      <c r="N709" s="7"/>
      <c r="O709" s="7"/>
      <c r="P709" s="7"/>
      <c r="Q709" s="7"/>
      <c r="R709" s="7"/>
    </row>
    <row r="710" spans="1:17" ht="15">
      <c r="A710" s="42">
        <f>+A709*0.3/12</f>
        <v>0.19245449207281265</v>
      </c>
      <c r="I710" s="57">
        <f>2.24/22.414</f>
        <v>0.0999375390381012</v>
      </c>
      <c r="J710" s="57">
        <f>2/197.14</f>
        <v>0.010145074566298063</v>
      </c>
      <c r="K710" s="57"/>
      <c r="L710" s="57">
        <f>0.5-I710</f>
        <v>0.4000624609618988</v>
      </c>
      <c r="M710" s="57"/>
      <c r="N710" s="57">
        <f>2/294.19</f>
        <v>0.006798327611407594</v>
      </c>
      <c r="Q710" s="57">
        <f>+(J710^3*N711^2)/(I715^12*N710*L711^14)</f>
        <v>3.772130658035955E+132</v>
      </c>
    </row>
    <row r="711" spans="1:17" ht="15">
      <c r="A711" s="20">
        <f>+SQRT(A710*0.0000167)</f>
        <v>0.001792760446243717</v>
      </c>
      <c r="I711" s="20">
        <v>0.5</v>
      </c>
      <c r="J711" s="57">
        <f>+J710/(I715)^4</f>
        <v>6.055229909777691E+19</v>
      </c>
      <c r="K711" s="57"/>
      <c r="L711" s="52">
        <f>+I713*I710/L710</f>
        <v>4.49648711943794E-06</v>
      </c>
      <c r="M711" s="52"/>
      <c r="N711" s="57">
        <f>2/158.35</f>
        <v>0.012630249447426587</v>
      </c>
      <c r="Q711" s="20">
        <f>+LOG10(Q710)</f>
        <v>132.5765867273</v>
      </c>
    </row>
    <row r="712" spans="1:17" ht="15">
      <c r="A712" s="42">
        <f>-LOG10(A711)</f>
        <v>2.746477738226448</v>
      </c>
      <c r="I712" s="57">
        <v>1E-14</v>
      </c>
      <c r="J712" s="58">
        <f>+LOG10(J711)</f>
        <v>19.782130637429887</v>
      </c>
      <c r="K712" s="58"/>
      <c r="L712" s="57">
        <f>0.00000000000001/L711</f>
        <v>2.2239583333333328E-09</v>
      </c>
      <c r="M712" s="57"/>
      <c r="N712" s="57">
        <f>+(L711)^14</f>
        <v>1.381105807615997E-75</v>
      </c>
      <c r="Q712" s="20">
        <f>+Q711*(-0.05916/6)</f>
        <v>-1.307205145131178</v>
      </c>
    </row>
    <row r="713" spans="1:17" ht="15">
      <c r="A713" s="42">
        <f>14-A712</f>
        <v>11.253522261773552</v>
      </c>
      <c r="I713" s="57">
        <v>1.8E-05</v>
      </c>
      <c r="J713" s="20">
        <f>+J712*0.05916/2</f>
        <v>0.5851554242551761</v>
      </c>
      <c r="L713" s="58">
        <f>-LOG10(L711)</f>
        <v>5.347126646321474</v>
      </c>
      <c r="M713" s="58"/>
      <c r="N713" s="57">
        <f>+(N711)^2</f>
        <v>0.0001595232011042196</v>
      </c>
      <c r="Q713" s="20">
        <f>1.232-0.6</f>
        <v>0.632</v>
      </c>
    </row>
    <row r="714" spans="9:17" ht="15">
      <c r="I714" s="57">
        <f>+I712/I713*I711/I710</f>
        <v>2.7795138888888886E-09</v>
      </c>
      <c r="J714" s="44">
        <f>0.6+J713</f>
        <v>1.185155424255176</v>
      </c>
      <c r="K714" s="44"/>
      <c r="N714" s="57">
        <f>+N710*N712/N713</f>
        <v>5.8857957220010045E-74</v>
      </c>
      <c r="Q714" s="44">
        <f>+Q713+Q712</f>
        <v>-0.6752051451311779</v>
      </c>
    </row>
    <row r="715" spans="9:14" ht="15">
      <c r="I715" s="52">
        <f>+I712/I714</f>
        <v>3.5977514053716432E-06</v>
      </c>
      <c r="N715" s="58">
        <f>+LOG10(N714)</f>
        <v>-73.23019481501032</v>
      </c>
    </row>
    <row r="716" spans="1:17" ht="15">
      <c r="A716" s="21" t="s">
        <v>427</v>
      </c>
      <c r="B716" s="35">
        <v>0.3998533724340177</v>
      </c>
      <c r="I716" s="58">
        <f>-LOG10(I714)</f>
        <v>8.556031151503912</v>
      </c>
      <c r="N716" s="42">
        <f>+N715*0.05916/6</f>
        <v>-0.7220497208760017</v>
      </c>
      <c r="Q716" s="44">
        <f>-N717+J714</f>
        <v>0.6752051451311778</v>
      </c>
    </row>
    <row r="717" spans="1:14" ht="15">
      <c r="A717" s="20" t="s">
        <v>424</v>
      </c>
      <c r="B717" s="21">
        <v>3.998933617701946E-05</v>
      </c>
      <c r="N717" s="44">
        <f>1.232+N716</f>
        <v>0.5099502791239983</v>
      </c>
    </row>
    <row r="718" spans="1:2" ht="15">
      <c r="A718" s="20" t="s">
        <v>425</v>
      </c>
      <c r="B718" s="21">
        <v>5.555555555555555E-10</v>
      </c>
    </row>
    <row r="719" spans="1:2" ht="15">
      <c r="A719" s="21" t="s">
        <v>37</v>
      </c>
      <c r="B719" s="21">
        <v>1.8E-05</v>
      </c>
    </row>
    <row r="721" spans="2:14" ht="15">
      <c r="B721" s="52"/>
      <c r="I721" s="15" t="s">
        <v>0</v>
      </c>
      <c r="J721" s="35">
        <v>1</v>
      </c>
      <c r="K721" s="35"/>
      <c r="N721" s="20">
        <f>+-0.03*2/0.05916</f>
        <v>-1.0141987829614605</v>
      </c>
    </row>
    <row r="722" spans="2:14" ht="15">
      <c r="B722" s="57"/>
      <c r="I722" s="15" t="s">
        <v>2</v>
      </c>
      <c r="J722" s="21">
        <v>-2.5</v>
      </c>
      <c r="K722" s="21"/>
      <c r="N722" s="32">
        <f>10^N721</f>
        <v>0.09678347626813945</v>
      </c>
    </row>
    <row r="723" spans="1:14" ht="15">
      <c r="A723" s="20">
        <f>20*0.77</f>
        <v>15.4</v>
      </c>
      <c r="B723" s="20">
        <f>0.23*0.05</f>
        <v>0.011500000000000002</v>
      </c>
      <c r="C723" s="35">
        <f>+A725-B724</f>
        <v>0.08551438637698179</v>
      </c>
      <c r="D723" s="21">
        <v>1.78E-05</v>
      </c>
      <c r="E723" s="21">
        <f>0.00000000000001/D723</f>
        <v>5.617977528089888E-10</v>
      </c>
      <c r="I723" s="15" t="s">
        <v>4</v>
      </c>
      <c r="J723" s="21">
        <f>N723</f>
        <v>0.24195869067034861</v>
      </c>
      <c r="K723" s="21"/>
      <c r="N723" s="35">
        <f>+N722*2.5</f>
        <v>0.24195869067034861</v>
      </c>
    </row>
    <row r="724" spans="1:11" ht="15">
      <c r="A724" s="20">
        <f>+A723*12/100</f>
        <v>1.848</v>
      </c>
      <c r="B724" s="20">
        <f>+B723*2</f>
        <v>0.023000000000000003</v>
      </c>
      <c r="D724" s="20">
        <f>+D723*C723/B723</f>
        <v>0.0001323613980443718</v>
      </c>
      <c r="E724" s="20">
        <f>+E723*B723/C723</f>
        <v>7.555072814090162E-11</v>
      </c>
      <c r="I724" s="15" t="s">
        <v>7</v>
      </c>
      <c r="J724" s="21">
        <f>+(J722^2)-4*J721*J723</f>
        <v>5.282165237318606</v>
      </c>
      <c r="K724" s="21"/>
    </row>
    <row r="725" spans="1:11" ht="15">
      <c r="A725" s="35">
        <f>+A724/17.03</f>
        <v>0.1085143863769818</v>
      </c>
      <c r="D725" s="42">
        <f>-LOG10(D724)</f>
        <v>3.8782386543276153</v>
      </c>
      <c r="E725" s="44">
        <f>-LOG10(E724)</f>
        <v>10.121761345672384</v>
      </c>
      <c r="I725" s="15" t="s">
        <v>6</v>
      </c>
      <c r="J725" s="21">
        <f>+SQRT(J724)</f>
        <v>2.298296159618818</v>
      </c>
      <c r="K725" s="21"/>
    </row>
    <row r="726" spans="4:11" ht="15">
      <c r="D726" s="44">
        <f>14-D725</f>
        <v>10.121761345672384</v>
      </c>
      <c r="I726" s="30" t="s">
        <v>8</v>
      </c>
      <c r="J726" s="52">
        <f>+(-J722+J725)/(2*J721)</f>
        <v>2.399148079809409</v>
      </c>
      <c r="K726" s="52"/>
    </row>
    <row r="727" spans="9:11" ht="15">
      <c r="I727" s="30" t="s">
        <v>9</v>
      </c>
      <c r="J727" s="57">
        <f>+(-J722-J725)/(2*J721)</f>
        <v>0.10085192019059108</v>
      </c>
      <c r="K727" s="57"/>
    </row>
    <row r="729" spans="1:18" ht="15">
      <c r="A729" s="51" t="s">
        <v>449</v>
      </c>
      <c r="B729" s="51" t="s">
        <v>82</v>
      </c>
      <c r="C729" s="204" t="s">
        <v>310</v>
      </c>
      <c r="D729" s="51" t="s">
        <v>81</v>
      </c>
      <c r="E729" s="51"/>
      <c r="L729" s="20" t="s">
        <v>89</v>
      </c>
      <c r="N729" s="42">
        <f>8.7/(48.043+10.079)</f>
        <v>0.14968514503974398</v>
      </c>
      <c r="O729" s="68" t="s">
        <v>89</v>
      </c>
      <c r="P729" s="68"/>
      <c r="Q729" s="42">
        <f>N729</f>
        <v>0.14968514503974398</v>
      </c>
      <c r="R729" s="20">
        <v>0</v>
      </c>
    </row>
    <row r="730" spans="1:21" ht="15">
      <c r="A730" s="20">
        <v>52.3</v>
      </c>
      <c r="B730" s="20">
        <v>-241.8</v>
      </c>
      <c r="D730" s="20">
        <v>-253.3</v>
      </c>
      <c r="E730" s="20">
        <f>+(D730-(A730+B730))*1000</f>
        <v>-63800.000000000015</v>
      </c>
      <c r="F730" s="20" t="s">
        <v>450</v>
      </c>
      <c r="G730" s="20" t="s">
        <v>453</v>
      </c>
      <c r="L730" s="20" t="s">
        <v>28</v>
      </c>
      <c r="N730" s="42">
        <f>+N729*13/2</f>
        <v>0.9729534427583358</v>
      </c>
      <c r="O730" s="68" t="s">
        <v>28</v>
      </c>
      <c r="P730" s="68"/>
      <c r="Q730" s="42">
        <f>N730</f>
        <v>0.9729534427583358</v>
      </c>
      <c r="R730" s="32">
        <f>+N732-Q730</f>
        <v>0.09729534427583364</v>
      </c>
      <c r="S730" s="35">
        <f>+R730/$R$733</f>
        <v>0.0673575129533679</v>
      </c>
      <c r="T730" s="58">
        <f>+S730*150</f>
        <v>10.103626943005185</v>
      </c>
      <c r="U730" s="58">
        <f>+T730*100/$T$733</f>
        <v>6.73575129533679</v>
      </c>
    </row>
    <row r="731" spans="1:21" ht="15">
      <c r="A731" s="20">
        <v>219.45</v>
      </c>
      <c r="B731" s="20">
        <v>188.72</v>
      </c>
      <c r="D731" s="20">
        <v>282.6</v>
      </c>
      <c r="E731" s="20">
        <f>+D731-(A731+B731)</f>
        <v>-125.56999999999994</v>
      </c>
      <c r="F731" s="20" t="s">
        <v>451</v>
      </c>
      <c r="G731" s="20">
        <f>+(E730-E732)/298</f>
        <v>-150.85255033557038</v>
      </c>
      <c r="N731" s="42">
        <f>+N730*10/100</f>
        <v>0.09729534427583358</v>
      </c>
      <c r="O731" s="68" t="s">
        <v>64</v>
      </c>
      <c r="P731" s="68"/>
      <c r="Q731" s="42">
        <f>+Q729*4</f>
        <v>0.5987405801589759</v>
      </c>
      <c r="R731" s="32">
        <f>Q731</f>
        <v>0.5987405801589759</v>
      </c>
      <c r="S731" s="35">
        <f>+R731/$R$733</f>
        <v>0.41450777202072536</v>
      </c>
      <c r="T731" s="58">
        <f>+S731*150</f>
        <v>62.1761658031088</v>
      </c>
      <c r="U731" s="58">
        <f>+T731*100/$T$733</f>
        <v>41.45077720207253</v>
      </c>
    </row>
    <row r="732" spans="4:21" ht="15">
      <c r="D732" s="20">
        <f>273+85</f>
        <v>358</v>
      </c>
      <c r="E732" s="60">
        <f>+(E730)-D732*E731</f>
        <v>-18845.94000000004</v>
      </c>
      <c r="F732" s="20" t="s">
        <v>452</v>
      </c>
      <c r="G732" s="20">
        <f>+E730-358*G731</f>
        <v>-9794.786979865814</v>
      </c>
      <c r="N732" s="42">
        <f>+N730+N731</f>
        <v>1.0702487870341695</v>
      </c>
      <c r="O732" s="68" t="s">
        <v>82</v>
      </c>
      <c r="P732" s="68"/>
      <c r="Q732" s="42">
        <f>+Q729*5</f>
        <v>0.7484257251987199</v>
      </c>
      <c r="R732" s="32">
        <f>Q732</f>
        <v>0.7484257251987199</v>
      </c>
      <c r="S732" s="35">
        <f>+R732/$R$733</f>
        <v>0.5181347150259067</v>
      </c>
      <c r="T732" s="58">
        <f>+S732*150</f>
        <v>77.720207253886</v>
      </c>
      <c r="U732" s="58">
        <f>+T732*100/$T$733</f>
        <v>51.813471502590666</v>
      </c>
    </row>
    <row r="733" spans="5:21" ht="15">
      <c r="E733" s="60">
        <f>2.71828^-(E732/8.3145/D732)</f>
        <v>561.9312597905796</v>
      </c>
      <c r="F733" s="20">
        <f>+E733*0.0821*D732</f>
        <v>16516.17120151276</v>
      </c>
      <c r="G733" s="60">
        <f>2.71828^-(G732/8.3145/D732)</f>
        <v>26.859064863013224</v>
      </c>
      <c r="R733" s="42">
        <f>SUM(R729:R732)</f>
        <v>1.4444616496335294</v>
      </c>
      <c r="S733" s="42">
        <f>SUM(S729:S732)</f>
        <v>1</v>
      </c>
      <c r="T733" s="42">
        <f>SUM(T729:T732)</f>
        <v>150</v>
      </c>
      <c r="U733" s="42">
        <f>SUM(U729:U732)</f>
        <v>99.99999999999999</v>
      </c>
    </row>
    <row r="734" spans="5:7" ht="15">
      <c r="E734" s="20">
        <f>39.01*(0.0821*D732)^-1</f>
        <v>1.3272409311440605</v>
      </c>
      <c r="G734" s="20">
        <f>+G733*0.0821*D732</f>
        <v>789.436262640712</v>
      </c>
    </row>
    <row r="735" spans="15:17" ht="15">
      <c r="O735" s="68" t="s">
        <v>90</v>
      </c>
      <c r="P735" s="68"/>
      <c r="Q735" s="35">
        <f>+R733*0.0821*(293)/150</f>
        <v>0.23164638880286295</v>
      </c>
    </row>
    <row r="736" spans="1:17" ht="15">
      <c r="A736" s="20">
        <v>0.5</v>
      </c>
      <c r="B736" s="20">
        <v>1.5</v>
      </c>
      <c r="D736" s="20">
        <v>1.3</v>
      </c>
      <c r="E736" s="42">
        <f>+(D736/D737)*(D737/B736)*(D737/A736)</f>
        <v>4.8533333333333335</v>
      </c>
      <c r="O736" s="68" t="s">
        <v>28</v>
      </c>
      <c r="P736" s="68"/>
      <c r="Q736" s="35"/>
    </row>
    <row r="737" spans="4:18" ht="15">
      <c r="D737" s="20">
        <v>2.8</v>
      </c>
      <c r="O737" s="68" t="s">
        <v>64</v>
      </c>
      <c r="P737" s="68"/>
      <c r="Q737" s="35"/>
      <c r="R737" s="42"/>
    </row>
    <row r="738" spans="15:16" ht="15">
      <c r="O738" s="68" t="s">
        <v>82</v>
      </c>
      <c r="P738" s="68"/>
    </row>
    <row r="740" spans="3:8" ht="15">
      <c r="C740" s="51" t="s">
        <v>382</v>
      </c>
      <c r="D740" s="51" t="s">
        <v>61</v>
      </c>
      <c r="E740" s="51" t="s">
        <v>277</v>
      </c>
      <c r="F740" s="51" t="s">
        <v>33</v>
      </c>
      <c r="G740" s="51" t="s">
        <v>29</v>
      </c>
      <c r="H740" s="51" t="s">
        <v>39</v>
      </c>
    </row>
    <row r="741" spans="1:17" ht="15">
      <c r="A741" s="20" t="s">
        <v>58</v>
      </c>
      <c r="B741" s="20">
        <f>1.5-0.5*0.3</f>
        <v>1.35</v>
      </c>
      <c r="C741" s="35">
        <f>+B741/$B$744</f>
        <v>0.3103448275862069</v>
      </c>
      <c r="D741" s="42">
        <f>+B744*0.0821*353/12</f>
        <v>10.505721250000002</v>
      </c>
      <c r="E741" s="42">
        <f>+C741*$D$741</f>
        <v>3.2603962500000008</v>
      </c>
      <c r="F741" s="21">
        <f>+E743/E741/E742^2</f>
        <v>0.0052262084162194265</v>
      </c>
      <c r="G741" s="42">
        <f>+F741/(0.0821*353)^-2</f>
        <v>4.389574759945128</v>
      </c>
      <c r="H741" s="35">
        <f>+C743/C741/C742^2</f>
        <v>0.5768175582990396</v>
      </c>
      <c r="J741" s="7" t="s">
        <v>91</v>
      </c>
      <c r="K741" s="7"/>
      <c r="L741" s="7" t="s">
        <v>92</v>
      </c>
      <c r="M741" s="7"/>
      <c r="N741" s="76" t="s">
        <v>100</v>
      </c>
      <c r="O741" s="7" t="s">
        <v>93</v>
      </c>
      <c r="P741" s="7"/>
      <c r="Q741" s="7" t="s">
        <v>94</v>
      </c>
    </row>
    <row r="742" spans="1:17" ht="15">
      <c r="A742" s="20" t="s">
        <v>204</v>
      </c>
      <c r="B742" s="42">
        <f>3-0.3</f>
        <v>2.7</v>
      </c>
      <c r="C742" s="35">
        <f>+B742/$B$744</f>
        <v>0.6206896551724138</v>
      </c>
      <c r="E742" s="42">
        <f>+C742*$D$741</f>
        <v>6.5207925000000015</v>
      </c>
      <c r="H742" s="35">
        <f>+F741/D741^-2</f>
        <v>0.5768175582990396</v>
      </c>
      <c r="I742" s="7" t="s">
        <v>101</v>
      </c>
      <c r="J742" s="11">
        <v>0.14968514503974398</v>
      </c>
      <c r="K742" s="149"/>
      <c r="L742" s="16">
        <v>1.0702487870341695</v>
      </c>
      <c r="M742" s="16"/>
      <c r="N742" s="8"/>
      <c r="O742" s="8">
        <v>0</v>
      </c>
      <c r="P742" s="8"/>
      <c r="Q742" s="8">
        <v>0</v>
      </c>
    </row>
    <row r="743" spans="1:17" ht="15">
      <c r="A743" s="20" t="s">
        <v>60</v>
      </c>
      <c r="B743" s="42">
        <v>0.3</v>
      </c>
      <c r="C743" s="35">
        <f>+B743/$B$744</f>
        <v>0.0689655172413793</v>
      </c>
      <c r="E743" s="42">
        <f>+C743*$D$741</f>
        <v>0.7245325</v>
      </c>
      <c r="I743" s="77" t="s">
        <v>62</v>
      </c>
      <c r="J743" s="76" t="s">
        <v>95</v>
      </c>
      <c r="K743" s="76"/>
      <c r="L743" s="11">
        <v>-0.973</v>
      </c>
      <c r="M743" s="11"/>
      <c r="N743" s="8"/>
      <c r="O743" s="76" t="s">
        <v>96</v>
      </c>
      <c r="P743" s="76"/>
      <c r="Q743" s="76" t="s">
        <v>97</v>
      </c>
    </row>
    <row r="744" spans="2:17" ht="15">
      <c r="B744" s="20">
        <f>SUM(B741:B743)</f>
        <v>4.3500000000000005</v>
      </c>
      <c r="C744" s="35">
        <f>SUM(C741:C743)</f>
        <v>1</v>
      </c>
      <c r="E744" s="42">
        <f>SUM(E741:E743)</f>
        <v>10.505721250000002</v>
      </c>
      <c r="I744" s="7" t="s">
        <v>102</v>
      </c>
      <c r="J744" s="8">
        <v>0</v>
      </c>
      <c r="K744" s="150"/>
      <c r="L744" s="8">
        <v>0.0973</v>
      </c>
      <c r="M744" s="8"/>
      <c r="N744" s="8"/>
      <c r="O744" s="76" t="s">
        <v>98</v>
      </c>
      <c r="P744" s="76"/>
      <c r="Q744" s="76" t="s">
        <v>99</v>
      </c>
    </row>
    <row r="745" spans="10:17" ht="15">
      <c r="J745" s="8"/>
      <c r="K745" s="150"/>
      <c r="L745" s="8"/>
      <c r="M745" s="8"/>
      <c r="N745" s="8"/>
      <c r="O745" s="8"/>
      <c r="P745" s="8"/>
      <c r="Q745" s="8"/>
    </row>
    <row r="746" spans="9:18" ht="15">
      <c r="I746" s="7" t="s">
        <v>105</v>
      </c>
      <c r="J746" s="8"/>
      <c r="K746" s="150"/>
      <c r="L746" s="13">
        <f>+R730*0.0821*293/150</f>
        <v>0.01560312463438974</v>
      </c>
      <c r="M746" s="13"/>
      <c r="N746" s="8"/>
      <c r="O746" s="11">
        <f>+R731*0.0821*293/150</f>
        <v>0.09601922851932143</v>
      </c>
      <c r="P746" s="11"/>
      <c r="Q746" s="11">
        <f>+R732*0.0821*293/150</f>
        <v>0.12002403564915178</v>
      </c>
      <c r="R746" s="38" t="s">
        <v>104</v>
      </c>
    </row>
    <row r="747" spans="1:17" ht="15">
      <c r="A747" s="7" t="s">
        <v>454</v>
      </c>
      <c r="B747" s="7" t="s">
        <v>425</v>
      </c>
      <c r="C747" s="7" t="s">
        <v>444</v>
      </c>
      <c r="D747" s="7" t="s">
        <v>37</v>
      </c>
      <c r="E747" s="20" t="s">
        <v>19</v>
      </c>
      <c r="F747" s="20" t="s">
        <v>18</v>
      </c>
      <c r="G747" s="20" t="s">
        <v>12</v>
      </c>
      <c r="I747" s="7" t="s">
        <v>108</v>
      </c>
      <c r="J747" s="335">
        <f>+L746+O746+Q746</f>
        <v>0.23164638880286295</v>
      </c>
      <c r="K747" s="335"/>
      <c r="L747" s="335"/>
      <c r="M747" s="335"/>
      <c r="N747" s="335"/>
      <c r="O747" s="335"/>
      <c r="P747" s="335"/>
      <c r="Q747" s="335"/>
    </row>
    <row r="748" spans="1:18" ht="15">
      <c r="A748" s="20">
        <v>3.1</v>
      </c>
      <c r="B748" s="21">
        <f>10^-A748</f>
        <v>0.000794328234724281</v>
      </c>
      <c r="C748" s="20">
        <f>14-A748</f>
        <v>10.9</v>
      </c>
      <c r="D748" s="21">
        <f>10^-C748</f>
        <v>1.258925411794164E-11</v>
      </c>
      <c r="I748" s="7" t="s">
        <v>106</v>
      </c>
      <c r="J748" s="8"/>
      <c r="K748" s="150"/>
      <c r="L748" s="9">
        <f>+L746*150/$J$747</f>
        <v>10.103626943005187</v>
      </c>
      <c r="M748" s="9"/>
      <c r="N748" s="8"/>
      <c r="O748" s="9">
        <f>+O746*150/$J$747</f>
        <v>62.17616580310881</v>
      </c>
      <c r="P748" s="9"/>
      <c r="Q748" s="9">
        <f>+Q746*150/$J$747</f>
        <v>77.720207253886</v>
      </c>
      <c r="R748" s="79" t="s">
        <v>107</v>
      </c>
    </row>
    <row r="749" spans="1:18" ht="15">
      <c r="A749" s="20">
        <v>4.7</v>
      </c>
      <c r="B749" s="21">
        <f aca="true" t="shared" si="1" ref="B749:D750">10^-A749</f>
        <v>1.995262314968877E-05</v>
      </c>
      <c r="C749" s="20">
        <f>14-A749</f>
        <v>9.3</v>
      </c>
      <c r="D749" s="21">
        <f t="shared" si="1"/>
        <v>5.011872336272705E-10</v>
      </c>
      <c r="I749" s="7" t="s">
        <v>103</v>
      </c>
      <c r="L749" s="9">
        <v>6.73575129533679</v>
      </c>
      <c r="M749" s="9"/>
      <c r="N749" s="8"/>
      <c r="O749" s="9">
        <v>41.45077720207253</v>
      </c>
      <c r="P749" s="9"/>
      <c r="Q749" s="9">
        <v>51.813471502590666</v>
      </c>
      <c r="R749" s="38" t="s">
        <v>109</v>
      </c>
    </row>
    <row r="750" spans="1:7" ht="15">
      <c r="A750" s="20">
        <v>6.4</v>
      </c>
      <c r="B750" s="21">
        <f t="shared" si="1"/>
        <v>3.981071705534962E-07</v>
      </c>
      <c r="C750" s="20">
        <f>14-A750</f>
        <v>7.6</v>
      </c>
      <c r="D750" s="21">
        <f t="shared" si="1"/>
        <v>2.511886431509575E-08</v>
      </c>
      <c r="E750" s="20">
        <f>+SQRT(0.1*10^-C750)</f>
        <v>5.0118723362727184E-05</v>
      </c>
      <c r="F750" s="20">
        <f>-LOG10(E750)</f>
        <v>4.300000000000001</v>
      </c>
      <c r="G750" s="20">
        <f>14-F750</f>
        <v>9.7</v>
      </c>
    </row>
    <row r="752" spans="1:3" ht="15">
      <c r="A752" s="20" t="s">
        <v>455</v>
      </c>
      <c r="B752" s="21">
        <f>0.0000001/B750</f>
        <v>0.2511886431509587</v>
      </c>
      <c r="C752" s="20">
        <f>+B752*0.06</f>
        <v>0.01507131858905752</v>
      </c>
    </row>
    <row r="753" spans="1:17" ht="15">
      <c r="A753" s="20" t="s">
        <v>456</v>
      </c>
      <c r="B753" s="21">
        <f>1/B752</f>
        <v>3.981071705534962</v>
      </c>
      <c r="J753" s="7" t="s">
        <v>65</v>
      </c>
      <c r="K753" s="7"/>
      <c r="L753" s="7" t="s">
        <v>82</v>
      </c>
      <c r="M753" s="7"/>
      <c r="N753" s="76" t="s">
        <v>110</v>
      </c>
      <c r="O753" s="7" t="s">
        <v>64</v>
      </c>
      <c r="P753" s="7"/>
      <c r="Q753" s="7" t="s">
        <v>20</v>
      </c>
    </row>
    <row r="754" spans="9:19" ht="15">
      <c r="I754" s="7" t="s">
        <v>117</v>
      </c>
      <c r="J754" s="80">
        <v>-110.5</v>
      </c>
      <c r="K754" s="80"/>
      <c r="L754" s="80">
        <v>-241.8</v>
      </c>
      <c r="M754" s="80"/>
      <c r="N754" s="80"/>
      <c r="O754" s="80">
        <v>-393.5</v>
      </c>
      <c r="P754" s="80"/>
      <c r="Q754" s="80">
        <v>0</v>
      </c>
      <c r="S754" s="14">
        <f>+(J756-J758)/J757</f>
        <v>600</v>
      </c>
    </row>
    <row r="755" spans="9:19" ht="15">
      <c r="I755" s="7" t="s">
        <v>118</v>
      </c>
      <c r="J755" s="8">
        <v>0.1977</v>
      </c>
      <c r="K755" s="150"/>
      <c r="L755" s="8">
        <v>0.1888</v>
      </c>
      <c r="M755" s="8"/>
      <c r="N755" s="8"/>
      <c r="O755" s="8">
        <v>0.2138</v>
      </c>
      <c r="P755" s="8"/>
      <c r="Q755" s="8">
        <v>0.1307</v>
      </c>
      <c r="S755" s="8"/>
    </row>
    <row r="756" spans="9:17" ht="15">
      <c r="I756" s="7" t="s">
        <v>112</v>
      </c>
      <c r="J756" s="314">
        <f>+O754-(J754+L754)</f>
        <v>-41.19999999999999</v>
      </c>
      <c r="K756" s="314"/>
      <c r="L756" s="314"/>
      <c r="M756" s="314"/>
      <c r="N756" s="314"/>
      <c r="O756" s="314"/>
      <c r="P756" s="314"/>
      <c r="Q756" s="314"/>
    </row>
    <row r="757" spans="2:17" ht="15">
      <c r="B757" s="58">
        <f>8*2000/55000</f>
        <v>0.2909090909090909</v>
      </c>
      <c r="I757" s="7" t="s">
        <v>113</v>
      </c>
      <c r="J757" s="314">
        <f>+(O755+Q755)-(L755+J755)</f>
        <v>-0.041999999999999926</v>
      </c>
      <c r="K757" s="314"/>
      <c r="L757" s="314"/>
      <c r="M757" s="314"/>
      <c r="N757" s="314"/>
      <c r="O757" s="314"/>
      <c r="P757" s="314"/>
      <c r="Q757" s="314"/>
    </row>
    <row r="758" spans="2:17" ht="15">
      <c r="B758" s="58">
        <f>45*2000/55000</f>
        <v>1.6363636363636365</v>
      </c>
      <c r="I758" s="7" t="s">
        <v>114</v>
      </c>
      <c r="J758" s="310">
        <f>+J756-600*J757</f>
        <v>-16.000000000000032</v>
      </c>
      <c r="K758" s="310"/>
      <c r="L758" s="310"/>
      <c r="M758" s="310"/>
      <c r="N758" s="310"/>
      <c r="O758" s="310"/>
      <c r="P758" s="310"/>
      <c r="Q758" s="310"/>
    </row>
    <row r="759" spans="2:17" ht="15">
      <c r="B759" s="58">
        <f>70*2000/55000</f>
        <v>2.5454545454545454</v>
      </c>
      <c r="I759" s="7" t="s">
        <v>115</v>
      </c>
      <c r="J759" s="314">
        <f>+-J758/(600*8.31)</f>
        <v>0.0032089851584436485</v>
      </c>
      <c r="K759" s="314"/>
      <c r="L759" s="314"/>
      <c r="M759" s="314"/>
      <c r="N759" s="314"/>
      <c r="O759" s="314"/>
      <c r="P759" s="314"/>
      <c r="Q759" s="314"/>
    </row>
    <row r="760" spans="9:17" ht="15">
      <c r="I760" s="7" t="s">
        <v>116</v>
      </c>
      <c r="J760" s="315">
        <v>24.75</v>
      </c>
      <c r="K760" s="315"/>
      <c r="L760" s="315"/>
      <c r="M760" s="315"/>
      <c r="N760" s="315"/>
      <c r="O760" s="315"/>
      <c r="P760" s="315"/>
      <c r="Q760" s="315"/>
    </row>
    <row r="761" spans="1:3" ht="15">
      <c r="A761" s="20" t="s">
        <v>425</v>
      </c>
      <c r="B761" s="21">
        <v>0.000177</v>
      </c>
      <c r="C761" s="51" t="s">
        <v>460</v>
      </c>
    </row>
    <row r="762" spans="1:21" ht="15">
      <c r="A762" s="20" t="s">
        <v>458</v>
      </c>
      <c r="B762" s="21">
        <f>18.5*0.16/40</f>
        <v>0.074</v>
      </c>
      <c r="J762" s="7" t="s">
        <v>65</v>
      </c>
      <c r="K762" s="7"/>
      <c r="L762" s="7" t="s">
        <v>82</v>
      </c>
      <c r="M762" s="7"/>
      <c r="N762" s="76" t="s">
        <v>110</v>
      </c>
      <c r="O762" s="7" t="s">
        <v>64</v>
      </c>
      <c r="P762" s="7"/>
      <c r="Q762" s="7" t="s">
        <v>20</v>
      </c>
      <c r="S762" s="82">
        <f>+J760*J765</f>
        <v>0.10603355944305604</v>
      </c>
      <c r="T762" s="15" t="s">
        <v>0</v>
      </c>
      <c r="U762" s="35">
        <f>S768</f>
        <v>612.5625</v>
      </c>
    </row>
    <row r="763" spans="1:21" ht="15">
      <c r="A763" s="20" t="s">
        <v>459</v>
      </c>
      <c r="B763" s="21">
        <f>+B766*1000/58.5</f>
        <v>0.050598290598290595</v>
      </c>
      <c r="I763" s="7" t="s">
        <v>31</v>
      </c>
      <c r="J763" s="8">
        <v>28.01</v>
      </c>
      <c r="K763" s="150"/>
      <c r="L763" s="8">
        <v>18.02</v>
      </c>
      <c r="M763" s="8"/>
      <c r="N763" s="8"/>
      <c r="O763" s="8">
        <v>44.01</v>
      </c>
      <c r="P763" s="8"/>
      <c r="Q763" s="8">
        <v>2.016</v>
      </c>
      <c r="S763" s="82">
        <f>+L765*J760</f>
        <v>0.16481687014428412</v>
      </c>
      <c r="T763" s="15" t="s">
        <v>2</v>
      </c>
      <c r="U763" s="21">
        <f>-S770</f>
        <v>-6.716748132286669</v>
      </c>
    </row>
    <row r="764" spans="1:21" ht="15">
      <c r="A764" s="20" t="s">
        <v>255</v>
      </c>
      <c r="B764" s="21">
        <f>+SQRT(B761*B763)</f>
        <v>0.002992640545721693</v>
      </c>
      <c r="I764" s="7" t="s">
        <v>111</v>
      </c>
      <c r="J764" s="11">
        <v>0.12</v>
      </c>
      <c r="K764" s="149"/>
      <c r="L764" s="11">
        <v>0.12</v>
      </c>
      <c r="M764" s="11"/>
      <c r="N764" s="8"/>
      <c r="O764" s="11">
        <v>0.4</v>
      </c>
      <c r="P764" s="11"/>
      <c r="Q764" s="11">
        <v>0.06</v>
      </c>
      <c r="S764" s="82">
        <f>+O765*Q765</f>
        <v>0.0002705012929961805</v>
      </c>
      <c r="T764" s="15" t="s">
        <v>4</v>
      </c>
      <c r="U764" s="21">
        <f>S771</f>
        <v>0.01720561810466622</v>
      </c>
    </row>
    <row r="765" spans="1:21" ht="15">
      <c r="A765" s="20" t="s">
        <v>12</v>
      </c>
      <c r="B765" s="44">
        <f>-LOG10(B764)</f>
        <v>2.523945444330718</v>
      </c>
      <c r="I765" s="7" t="s">
        <v>119</v>
      </c>
      <c r="J765" s="83">
        <f>+J764/J763</f>
        <v>0.004284184219921456</v>
      </c>
      <c r="K765" s="83"/>
      <c r="L765" s="83">
        <f>+L764/L763</f>
        <v>0.006659267480577136</v>
      </c>
      <c r="M765" s="83"/>
      <c r="N765" s="83"/>
      <c r="O765" s="83">
        <f>+O764/O763</f>
        <v>0.009088843444671667</v>
      </c>
      <c r="P765" s="83"/>
      <c r="Q765" s="83">
        <f>+Q764/Q763</f>
        <v>0.02976190476190476</v>
      </c>
      <c r="R765" s="82">
        <f>SUM(J765:Q765)</f>
        <v>0.049794199907075024</v>
      </c>
      <c r="S765" s="82">
        <f>+S762*S763</f>
        <v>0.017476119397662398</v>
      </c>
      <c r="T765" s="15" t="s">
        <v>7</v>
      </c>
      <c r="U765" s="21">
        <f>+(U763^2)-4*U762*U764</f>
        <v>2.9566397116180525</v>
      </c>
    </row>
    <row r="766" spans="1:21" ht="15">
      <c r="A766" s="20" t="s">
        <v>457</v>
      </c>
      <c r="B766" s="21">
        <f>0.074*0.04</f>
        <v>0.00296</v>
      </c>
      <c r="I766" s="7" t="s">
        <v>120</v>
      </c>
      <c r="J766" s="83">
        <f>+J765-U768</f>
        <v>0.0002052045891351049</v>
      </c>
      <c r="K766" s="83"/>
      <c r="L766" s="83">
        <f>+L765-U768</f>
        <v>0.002580287849790785</v>
      </c>
      <c r="M766" s="83"/>
      <c r="N766" s="83"/>
      <c r="O766" s="83">
        <v>0.0132</v>
      </c>
      <c r="P766" s="83"/>
      <c r="Q766" s="83">
        <v>0.033841</v>
      </c>
      <c r="R766" s="82">
        <f>SUM(J766:Q766)</f>
        <v>0.049826492438925896</v>
      </c>
      <c r="S766" s="42">
        <f>+S762*J760</f>
        <v>2.624330596215637</v>
      </c>
      <c r="T766" s="15" t="s">
        <v>6</v>
      </c>
      <c r="U766" s="21">
        <f>+SQRT(U765)</f>
        <v>1.71948821211954</v>
      </c>
    </row>
    <row r="767" spans="1:21" ht="15">
      <c r="A767" s="20" t="s">
        <v>421</v>
      </c>
      <c r="B767" s="21">
        <f>0.16*0.008</f>
        <v>0.00128</v>
      </c>
      <c r="J767" s="82">
        <f>+(O766*Q766)/(J766*L766)</f>
        <v>843.6491879111674</v>
      </c>
      <c r="K767" s="82"/>
      <c r="S767" s="82">
        <f>+J760*S763</f>
        <v>4.079217536071032</v>
      </c>
      <c r="T767" s="30" t="s">
        <v>8</v>
      </c>
      <c r="U767" s="52">
        <f>+(-U763+U766)/(2*U762)</f>
        <v>0.006886020891261063</v>
      </c>
    </row>
    <row r="768" spans="2:23" ht="15">
      <c r="B768" s="21">
        <f>+B766-B767</f>
        <v>0.0016799999999999999</v>
      </c>
      <c r="S768" s="20">
        <f>+J760*J760</f>
        <v>612.5625</v>
      </c>
      <c r="T768" s="30" t="s">
        <v>9</v>
      </c>
      <c r="U768" s="21">
        <f>+(-U763-U766)/(2*U762)</f>
        <v>0.004078979630786351</v>
      </c>
      <c r="V768" s="82">
        <f>Q765</f>
        <v>0.02976190476190476</v>
      </c>
      <c r="W768" s="84">
        <f>+U768+V768</f>
        <v>0.03384088439269111</v>
      </c>
    </row>
    <row r="769" spans="2:20" ht="15">
      <c r="B769" s="21">
        <f>+B761*B767/B768</f>
        <v>0.00013485714285714286</v>
      </c>
      <c r="S769" s="20">
        <f>+S768-1</f>
        <v>611.5625</v>
      </c>
      <c r="T769" s="82"/>
    </row>
    <row r="770" spans="2:20" ht="15">
      <c r="B770" s="44">
        <f>-LOG10(B769)</f>
        <v>3.8701260457161877</v>
      </c>
      <c r="S770" s="82">
        <f>+S766+S767+O766</f>
        <v>6.716748132286669</v>
      </c>
      <c r="T770" s="82"/>
    </row>
    <row r="771" ht="15">
      <c r="S771" s="82">
        <f>+S765-S764</f>
        <v>0.01720561810466622</v>
      </c>
    </row>
    <row r="773" spans="1:4" ht="15">
      <c r="A773" s="7" t="s">
        <v>454</v>
      </c>
      <c r="B773" s="7" t="s">
        <v>425</v>
      </c>
      <c r="C773" s="7" t="s">
        <v>444</v>
      </c>
      <c r="D773" s="7" t="s">
        <v>37</v>
      </c>
    </row>
    <row r="774" spans="1:19" ht="15">
      <c r="A774" s="20">
        <v>2.88</v>
      </c>
      <c r="B774" s="21">
        <f>10^-A774</f>
        <v>0.001318256738556407</v>
      </c>
      <c r="C774" s="20">
        <f>14-A774</f>
        <v>11.120000000000001</v>
      </c>
      <c r="D774" s="21">
        <f>10^-C774</f>
        <v>7.585775750291808E-12</v>
      </c>
      <c r="E774" s="20">
        <f>+A774+C774</f>
        <v>14</v>
      </c>
      <c r="J774" s="7" t="s">
        <v>121</v>
      </c>
      <c r="K774" s="7"/>
      <c r="L774" s="7" t="s">
        <v>122</v>
      </c>
      <c r="M774" s="7"/>
      <c r="N774" s="7" t="s">
        <v>123</v>
      </c>
      <c r="O774" s="76" t="s">
        <v>124</v>
      </c>
      <c r="P774" s="76"/>
      <c r="Q774" s="7" t="s">
        <v>125</v>
      </c>
      <c r="R774" s="7" t="s">
        <v>126</v>
      </c>
      <c r="S774" s="7" t="s">
        <v>127</v>
      </c>
    </row>
    <row r="775" spans="1:19" ht="15">
      <c r="A775" s="20">
        <v>4.75</v>
      </c>
      <c r="B775" s="21">
        <f>10^-A775</f>
        <v>1.7782794100389215E-05</v>
      </c>
      <c r="C775" s="20">
        <f>14-A775</f>
        <v>9.25</v>
      </c>
      <c r="D775" s="21">
        <f>10^-C775</f>
        <v>5.623413251903489E-10</v>
      </c>
      <c r="E775" s="20">
        <f>+A775+C775</f>
        <v>14</v>
      </c>
      <c r="I775" s="7" t="s">
        <v>128</v>
      </c>
      <c r="J775" s="8">
        <v>74.09</v>
      </c>
      <c r="K775" s="150"/>
      <c r="L775" s="16">
        <v>40</v>
      </c>
      <c r="M775" s="16"/>
      <c r="N775" s="8">
        <v>70.91</v>
      </c>
      <c r="O775" s="8"/>
      <c r="P775" s="8"/>
      <c r="Q775" s="8">
        <v>142.98</v>
      </c>
      <c r="R775" s="8"/>
      <c r="S775" s="8"/>
    </row>
    <row r="776" spans="1:19" ht="15">
      <c r="A776" s="20">
        <v>7.13</v>
      </c>
      <c r="B776" s="21">
        <f>10^-A776</f>
        <v>7.413102413009154E-08</v>
      </c>
      <c r="C776" s="20">
        <f>14-A776</f>
        <v>6.87</v>
      </c>
      <c r="D776" s="21">
        <f>10^-C776</f>
        <v>1.3489628825916511E-07</v>
      </c>
      <c r="E776" s="20">
        <f>+A776+C776</f>
        <v>14</v>
      </c>
      <c r="F776" s="21"/>
      <c r="I776" s="7" t="s">
        <v>111</v>
      </c>
      <c r="J776" s="18">
        <v>1067</v>
      </c>
      <c r="K776" s="18"/>
      <c r="L776" s="11"/>
      <c r="M776" s="11"/>
      <c r="N776" s="8"/>
      <c r="O776" s="8"/>
      <c r="P776" s="8"/>
      <c r="Q776" s="11"/>
      <c r="R776" s="11"/>
      <c r="S776" s="8"/>
    </row>
    <row r="777" spans="9:19" ht="15">
      <c r="I777" s="7" t="s">
        <v>129</v>
      </c>
      <c r="J777" s="16">
        <f>+J776/J775</f>
        <v>14.401403698204886</v>
      </c>
      <c r="K777" s="16"/>
      <c r="L777" s="16">
        <f>+J777*2</f>
        <v>28.802807396409772</v>
      </c>
      <c r="M777" s="16"/>
      <c r="N777" s="16">
        <f>+J777*2</f>
        <v>28.802807396409772</v>
      </c>
      <c r="O777" s="83"/>
      <c r="P777" s="83"/>
      <c r="Q777" s="16">
        <f>+J777*1</f>
        <v>14.401403698204886</v>
      </c>
      <c r="R777" s="83"/>
      <c r="S777" s="8"/>
    </row>
    <row r="778" spans="1:19" ht="15">
      <c r="A778" s="20">
        <f>22.99*3+108.097+3.032+95.996</f>
        <v>276.095</v>
      </c>
      <c r="B778" s="21">
        <f>2.57/A778</f>
        <v>0.00930839022800123</v>
      </c>
      <c r="C778" s="21">
        <f>0.00001/B775</f>
        <v>0.5623413251903495</v>
      </c>
      <c r="D778" s="21">
        <f>+C781-B778</f>
        <v>0.0033504154385504466</v>
      </c>
      <c r="I778" s="7" t="s">
        <v>111</v>
      </c>
      <c r="J778" s="8"/>
      <c r="K778" s="150"/>
      <c r="L778" s="18">
        <f>+L777*L775</f>
        <v>1152.1122958563908</v>
      </c>
      <c r="M778" s="18"/>
      <c r="N778" s="18">
        <f>+N777*N775</f>
        <v>2042.407072479417</v>
      </c>
      <c r="O778" s="8"/>
      <c r="P778" s="8"/>
      <c r="Q778" s="18">
        <f>+Q777*Q775</f>
        <v>2059.1127007693344</v>
      </c>
      <c r="R778" s="8"/>
      <c r="S778" s="8"/>
    </row>
    <row r="779" spans="2:4" ht="15">
      <c r="B779" s="21">
        <f>+B778/0.1</f>
        <v>0.0930839022800123</v>
      </c>
      <c r="C779" s="21">
        <f>+C778*B778</f>
        <v>0.005234492496203112</v>
      </c>
      <c r="D779" s="21">
        <f>+B778-D778</f>
        <v>0.005957974789450784</v>
      </c>
    </row>
    <row r="780" spans="2:4" ht="15">
      <c r="B780" s="21">
        <f>+SQRT(B779*D776)</f>
        <v>0.00011205656122803563</v>
      </c>
      <c r="C780" s="21">
        <f>+C779/(1+C778)</f>
        <v>0.0033504154385504475</v>
      </c>
      <c r="D780" s="21">
        <f>+B775*D778/D779</f>
        <v>9.999999999999999E-06</v>
      </c>
    </row>
    <row r="781" spans="2:4" ht="15">
      <c r="B781" s="42">
        <f>-LOG10(B780)</f>
        <v>3.950562709216332</v>
      </c>
      <c r="C781" s="21">
        <f>+B778+C780</f>
        <v>0.012658805666551677</v>
      </c>
      <c r="D781" s="44">
        <f>-LOG10(D780)</f>
        <v>5</v>
      </c>
    </row>
    <row r="782" spans="2:3" ht="15">
      <c r="B782" s="44">
        <f>14-B781</f>
        <v>10.049437290783668</v>
      </c>
      <c r="C782" s="73">
        <f>+C781/0.2*1000</f>
        <v>63.29402833275838</v>
      </c>
    </row>
    <row r="783" ht="15">
      <c r="N783" s="20">
        <f>0.927-1.2</f>
        <v>-0.2729999999999999</v>
      </c>
    </row>
    <row r="784" ht="15">
      <c r="N784" s="20">
        <f>+N783*-2/0.05916</f>
        <v>9.229208924949287</v>
      </c>
    </row>
    <row r="785" spans="1:14" ht="15">
      <c r="A785" s="20">
        <f>25/60.05</f>
        <v>0.41631973355537055</v>
      </c>
      <c r="B785" s="20">
        <f>1000*1.155</f>
        <v>1155</v>
      </c>
      <c r="N785" s="21">
        <f>10^N784</f>
        <v>1695153087.3410087</v>
      </c>
    </row>
    <row r="786" spans="1:14" ht="15">
      <c r="A786" s="20">
        <f>100/1.155</f>
        <v>86.58008658008657</v>
      </c>
      <c r="B786" s="60">
        <f>+A788*60.05</f>
        <v>288.75</v>
      </c>
      <c r="N786" s="46">
        <f>+SQRT(0.2/N785)</f>
        <v>1.086201843040365E-05</v>
      </c>
    </row>
    <row r="787" spans="1:14" ht="15">
      <c r="A787" s="20">
        <f>+A786/1000</f>
        <v>0.08658008658008658</v>
      </c>
      <c r="B787" s="60">
        <f>+B785-B786</f>
        <v>866.25</v>
      </c>
      <c r="N787" s="21">
        <f>+N786^2</f>
        <v>1.179834443824286E-10</v>
      </c>
    </row>
    <row r="788" spans="1:21" ht="18.75">
      <c r="A788" s="20">
        <f>+A785/A787</f>
        <v>4.80849292256453</v>
      </c>
      <c r="B788" s="20">
        <f>+B787/1000</f>
        <v>0.86625</v>
      </c>
      <c r="Q788" s="85" t="s">
        <v>8</v>
      </c>
      <c r="R788" s="85" t="s">
        <v>8</v>
      </c>
      <c r="S788" s="85" t="s">
        <v>9</v>
      </c>
      <c r="T788" s="85" t="s">
        <v>9</v>
      </c>
      <c r="U788" s="85" t="s">
        <v>9</v>
      </c>
    </row>
    <row r="789" spans="1:21" ht="15">
      <c r="A789" s="20">
        <f>+A788*0.01</f>
        <v>0.0480849292256453</v>
      </c>
      <c r="B789" s="20">
        <f>+A788/B788</f>
        <v>5.550929780738274</v>
      </c>
      <c r="Q789" s="7">
        <v>1</v>
      </c>
      <c r="R789" s="7">
        <v>2</v>
      </c>
      <c r="S789" s="7">
        <v>3</v>
      </c>
      <c r="T789" s="7">
        <v>4</v>
      </c>
      <c r="U789" s="7">
        <v>5</v>
      </c>
    </row>
    <row r="790" spans="10:21" ht="15">
      <c r="J790" s="7" t="s">
        <v>131</v>
      </c>
      <c r="K790" s="7"/>
      <c r="L790" s="7" t="s">
        <v>132</v>
      </c>
      <c r="M790" s="7"/>
      <c r="N790" s="7" t="s">
        <v>133</v>
      </c>
      <c r="Q790" s="7" t="s">
        <v>134</v>
      </c>
      <c r="R790" s="7" t="s">
        <v>137</v>
      </c>
      <c r="S790" s="7" t="s">
        <v>136</v>
      </c>
      <c r="T790" s="7" t="s">
        <v>135</v>
      </c>
      <c r="U790" s="7" t="s">
        <v>138</v>
      </c>
    </row>
    <row r="791" spans="9:21" ht="15">
      <c r="I791" s="7" t="s">
        <v>128</v>
      </c>
      <c r="J791" s="16">
        <v>129.6</v>
      </c>
      <c r="K791" s="16"/>
      <c r="L791" s="16">
        <v>183.32</v>
      </c>
      <c r="M791" s="16"/>
      <c r="N791" s="83">
        <f>+J793*2</f>
        <v>0.006404320987654321</v>
      </c>
      <c r="Q791" s="8">
        <v>1.358</v>
      </c>
      <c r="R791" s="8">
        <v>1.229</v>
      </c>
      <c r="S791" s="8">
        <v>-0.257</v>
      </c>
      <c r="T791" s="8">
        <v>-0.403</v>
      </c>
      <c r="U791" s="8">
        <v>-0.828</v>
      </c>
    </row>
    <row r="792" spans="9:21" ht="15">
      <c r="I792" s="7" t="s">
        <v>111</v>
      </c>
      <c r="J792" s="11">
        <v>0.415</v>
      </c>
      <c r="K792" s="149"/>
      <c r="L792" s="11">
        <v>0.93</v>
      </c>
      <c r="M792" s="11"/>
      <c r="N792" s="83">
        <f>+L793*2</f>
        <v>0.010146192450360027</v>
      </c>
      <c r="Q792" s="11">
        <f>+LOG10(1/(N794^2))</f>
        <v>2.960317066244617</v>
      </c>
      <c r="R792" s="11">
        <f>+LOG10(1*(0.0000001)^4)</f>
        <v>-28</v>
      </c>
      <c r="S792" s="11">
        <f>+LOG10(J794)</f>
        <v>-2.193526909158501</v>
      </c>
      <c r="T792" s="11">
        <f>+LOG10(L794)</f>
        <v>-1.9936969043548327</v>
      </c>
      <c r="U792" s="11">
        <f>+LOG10(1/0.0000001^2)</f>
        <v>14</v>
      </c>
    </row>
    <row r="793" spans="1:21" ht="15">
      <c r="A793" s="20">
        <f>0.2155*4/229.84</f>
        <v>0.003750435085276714</v>
      </c>
      <c r="B793" s="20">
        <f>+A793/50</f>
        <v>7.500870170553428E-05</v>
      </c>
      <c r="C793" s="62">
        <f>0.01*0.015</f>
        <v>0.00015</v>
      </c>
      <c r="D793" s="62">
        <f>+C793+B794</f>
        <v>0.0024002610511660283</v>
      </c>
      <c r="I793" s="7" t="s">
        <v>129</v>
      </c>
      <c r="J793" s="83">
        <f>+J792/J791</f>
        <v>0.0032021604938271605</v>
      </c>
      <c r="K793" s="83"/>
      <c r="L793" s="83">
        <f>+L792/L791</f>
        <v>0.0050730962251800136</v>
      </c>
      <c r="M793" s="83"/>
      <c r="N793" s="83">
        <f>+N791+N792</f>
        <v>0.01655051343801435</v>
      </c>
      <c r="Q793" s="86">
        <f>Q791+0.05916/2*Q792</f>
        <v>1.4455661788195158</v>
      </c>
      <c r="R793" s="86">
        <f>R791+0.05916/4*R792</f>
        <v>0.81488</v>
      </c>
      <c r="S793" s="86">
        <f>S791+0.05916/2*S792</f>
        <v>-0.32188452597290845</v>
      </c>
      <c r="T793" s="86">
        <f>T791+0.05916/2*T792</f>
        <v>-0.461973554430816</v>
      </c>
      <c r="U793" s="86">
        <f>U791+0.05916/2*U792</f>
        <v>-0.41387999999999997</v>
      </c>
    </row>
    <row r="794" spans="1:21" ht="15">
      <c r="A794" s="20">
        <f>+A793/0.05</f>
        <v>0.07500870170553428</v>
      </c>
      <c r="B794" s="20">
        <f>+B793*30</f>
        <v>0.0022502610511660284</v>
      </c>
      <c r="C794" s="62">
        <f>+C793*2</f>
        <v>0.0003</v>
      </c>
      <c r="D794" s="20">
        <f>+D793*74.992</f>
        <v>0.18000037674904282</v>
      </c>
      <c r="I794" s="7" t="s">
        <v>130</v>
      </c>
      <c r="J794" s="83">
        <f>+J793/0.5</f>
        <v>0.006404320987654321</v>
      </c>
      <c r="K794" s="83"/>
      <c r="L794" s="83">
        <f>+L793/0.5</f>
        <v>0.010146192450360027</v>
      </c>
      <c r="M794" s="83"/>
      <c r="N794" s="83">
        <f>+N793/0.5</f>
        <v>0.0331010268760287</v>
      </c>
      <c r="R794" s="11">
        <v>0.4</v>
      </c>
      <c r="U794" s="11">
        <v>0.2</v>
      </c>
    </row>
    <row r="795" spans="2:21" ht="15">
      <c r="B795" s="20">
        <f>+B794*2</f>
        <v>0.004500522102332057</v>
      </c>
      <c r="C795" s="20">
        <f>+C793*129.911</f>
        <v>0.019486649999999998</v>
      </c>
      <c r="D795" s="44">
        <f>+D794/0.75*100</f>
        <v>24.00005023320571</v>
      </c>
      <c r="R795" s="86">
        <f>+R793+R794</f>
        <v>1.21488</v>
      </c>
      <c r="U795" s="86">
        <f>+U793+U794</f>
        <v>-0.21387999999999996</v>
      </c>
    </row>
    <row r="796" spans="2:3" ht="15">
      <c r="B796" s="20">
        <f>+B795/4</f>
        <v>0.0011251305255830142</v>
      </c>
      <c r="C796" s="44">
        <f>+C795*100/0.75</f>
        <v>2.59822</v>
      </c>
    </row>
    <row r="797" spans="2:20" ht="15">
      <c r="B797" s="20">
        <f>+B796*2</f>
        <v>0.0022502610511660284</v>
      </c>
      <c r="Q797" s="51"/>
      <c r="R797" s="54"/>
      <c r="S797" s="35"/>
      <c r="T797" s="54"/>
    </row>
    <row r="798" spans="2:20" ht="15">
      <c r="B798" s="20">
        <f>+B797*260.08</f>
        <v>0.5852478941872606</v>
      </c>
      <c r="Q798" s="87" t="s">
        <v>139</v>
      </c>
      <c r="R798" s="88">
        <f>+S793-Q793</f>
        <v>-1.7674507047924242</v>
      </c>
      <c r="S798" s="35"/>
      <c r="T798" s="54"/>
    </row>
    <row r="799" spans="2:18" ht="15">
      <c r="B799" s="44">
        <f>+B798*100/0.75</f>
        <v>78.03305255830142</v>
      </c>
      <c r="Q799" s="87" t="s">
        <v>140</v>
      </c>
      <c r="R799" s="88">
        <f>+S793-R793-R794</f>
        <v>-1.5367645259729086</v>
      </c>
    </row>
    <row r="800" spans="2:18" ht="15">
      <c r="B800" s="83"/>
      <c r="C800" s="83">
        <f>+C796+B799</f>
        <v>80.63127255830142</v>
      </c>
      <c r="D800" s="83"/>
      <c r="E800" s="83"/>
      <c r="Q800" s="87" t="s">
        <v>141</v>
      </c>
      <c r="R800" s="88">
        <f>+T793-Q793</f>
        <v>-1.9075397332503319</v>
      </c>
    </row>
    <row r="801" spans="2:18" ht="15">
      <c r="B801" s="83"/>
      <c r="C801" s="83"/>
      <c r="D801" s="83"/>
      <c r="E801" s="83"/>
      <c r="Q801" s="87" t="s">
        <v>142</v>
      </c>
      <c r="R801" s="88">
        <f>+U793-Q793-U794</f>
        <v>-2.059446178819516</v>
      </c>
    </row>
    <row r="802" spans="2:18" ht="15">
      <c r="B802" s="83"/>
      <c r="C802" s="83"/>
      <c r="D802" s="83"/>
      <c r="E802" s="83"/>
      <c r="Q802" s="87" t="s">
        <v>143</v>
      </c>
      <c r="R802" s="88">
        <f>+T793-R793-R794</f>
        <v>-1.6768535544308159</v>
      </c>
    </row>
    <row r="803" spans="1:18" ht="15">
      <c r="A803" s="20">
        <f>+(10^-2)^2</f>
        <v>0.0001</v>
      </c>
      <c r="B803" s="83">
        <f>10^-1.5</f>
        <v>0.031622776601683784</v>
      </c>
      <c r="C803" s="83">
        <f>+A807-B804</f>
        <v>0.006374301224723082</v>
      </c>
      <c r="D803" s="83"/>
      <c r="E803" s="83"/>
      <c r="Q803" s="87" t="s">
        <v>144</v>
      </c>
      <c r="R803" s="88">
        <f>+U793-R793-R794-U794</f>
        <v>-1.8287600000000002</v>
      </c>
    </row>
    <row r="804" spans="1:3" ht="15">
      <c r="A804" s="20">
        <f>0.00037*0.01</f>
        <v>3.7E-06</v>
      </c>
      <c r="B804" s="83">
        <f>+B803*0.02</f>
        <v>0.0006324555320336757</v>
      </c>
      <c r="C804" s="82">
        <f>0.00000000000001/0.00037*(B804/C803)</f>
        <v>2.6816104471764272E-12</v>
      </c>
    </row>
    <row r="805" spans="1:20" ht="15">
      <c r="A805" s="20">
        <f>+A803+A804</f>
        <v>0.0001037</v>
      </c>
      <c r="C805" s="20">
        <f>-LOG10(C804)</f>
        <v>11.571604311096419</v>
      </c>
      <c r="I805" s="15" t="s">
        <v>0</v>
      </c>
      <c r="J805" s="35">
        <v>1</v>
      </c>
      <c r="K805" s="35"/>
      <c r="Q805" s="57">
        <v>4.5E-07</v>
      </c>
      <c r="S805" s="21">
        <f>0.04-J810</f>
        <v>0.03986606073268191</v>
      </c>
      <c r="T805" s="57">
        <f>0.01*(J810)^2/S805</f>
        <v>4.5E-09</v>
      </c>
    </row>
    <row r="806" spans="1:19" ht="15">
      <c r="A806" s="20">
        <f>+A805/0.00037</f>
        <v>0.2802702702702703</v>
      </c>
      <c r="I806" s="15" t="s">
        <v>2</v>
      </c>
      <c r="J806" s="21">
        <f>Q805</f>
        <v>4.5E-07</v>
      </c>
      <c r="K806" s="21"/>
      <c r="Q806" s="57">
        <f>+Q805*0.04</f>
        <v>1.8E-08</v>
      </c>
      <c r="S806" s="21">
        <f>+J810</f>
        <v>0.00013393926731809032</v>
      </c>
    </row>
    <row r="807" spans="1:19" ht="15">
      <c r="A807" s="207">
        <f>+A806*0.025</f>
        <v>0.007006756756756757</v>
      </c>
      <c r="B807" s="117"/>
      <c r="C807" s="117"/>
      <c r="D807" s="117"/>
      <c r="E807" s="117"/>
      <c r="I807" s="15" t="s">
        <v>4</v>
      </c>
      <c r="J807" s="21">
        <f>-Q806</f>
        <v>-1.8E-08</v>
      </c>
      <c r="K807" s="21"/>
      <c r="Q807" s="57">
        <v>4.7E-11</v>
      </c>
      <c r="S807" s="21">
        <f>+J818</f>
        <v>4.699996701508155E-11</v>
      </c>
    </row>
    <row r="808" spans="1:19" ht="15">
      <c r="A808" s="20">
        <f>14-12.32</f>
        <v>1.6799999999999997</v>
      </c>
      <c r="I808" s="15" t="s">
        <v>7</v>
      </c>
      <c r="J808" s="21">
        <f>+(J806^2)-4*J805*J807</f>
        <v>7.200020249999999E-08</v>
      </c>
      <c r="K808" s="21"/>
      <c r="Q808" s="57">
        <f>+Q807*J810</f>
        <v>6.295145563950245E-15</v>
      </c>
      <c r="S808" s="21">
        <f>SUM(S805:S807)</f>
        <v>0.04000000004699997</v>
      </c>
    </row>
    <row r="809" spans="1:17" ht="15">
      <c r="A809" s="83">
        <f>+(10^-A808)^2</f>
        <v>0.0004365158322401663</v>
      </c>
      <c r="B809" s="83">
        <f>10^-0.62</f>
        <v>0.23988329190194901</v>
      </c>
      <c r="C809" s="83">
        <f>+A813-B810</f>
        <v>0.36032454639964856</v>
      </c>
      <c r="D809" s="21">
        <f>0.00000000000001/0.00037</f>
        <v>2.7027027027027027E-11</v>
      </c>
      <c r="E809" s="35"/>
      <c r="I809" s="15" t="s">
        <v>6</v>
      </c>
      <c r="J809" s="21">
        <f>+SQRT(J808)</f>
        <v>0.0002683285346361806</v>
      </c>
      <c r="K809" s="21"/>
      <c r="Q809" s="57">
        <f>+Q807+J810</f>
        <v>0.00013393931431809032</v>
      </c>
    </row>
    <row r="810" spans="1:11" ht="15">
      <c r="A810" s="82">
        <f>0.00037*A815</f>
        <v>7.73039568415995E-06</v>
      </c>
      <c r="B810" s="206">
        <f>+B809*0.5</f>
        <v>0.11994164595097451</v>
      </c>
      <c r="C810" s="82"/>
      <c r="D810" s="82">
        <f>+D809*B810/C809</f>
        <v>8.996517553893343E-12</v>
      </c>
      <c r="E810" s="21"/>
      <c r="I810" s="30" t="s">
        <v>8</v>
      </c>
      <c r="J810" s="50">
        <f>+(-J806+J809)/(2*J805)</f>
        <v>0.00013393926731809032</v>
      </c>
      <c r="K810" s="50"/>
    </row>
    <row r="811" spans="1:18" ht="15">
      <c r="A811" s="82">
        <f>+A809+A810</f>
        <v>0.00044424622792432625</v>
      </c>
      <c r="D811" s="44">
        <f>-LOG10(D810)</f>
        <v>11.04592556831705</v>
      </c>
      <c r="E811" s="21"/>
      <c r="I811" s="30" t="s">
        <v>9</v>
      </c>
      <c r="J811" s="21">
        <f>+(-J806-J809)/(2*J805)</f>
        <v>-0.0001343892673180903</v>
      </c>
      <c r="K811" s="21"/>
      <c r="Q811" s="89">
        <f>+J810+J818</f>
        <v>0.00013393931431805733</v>
      </c>
      <c r="R811" s="57"/>
    </row>
    <row r="812" spans="1:5" ht="15">
      <c r="A812" s="83">
        <f>+A811/0.00037</f>
        <v>1.2006654808765576</v>
      </c>
      <c r="E812" s="21"/>
    </row>
    <row r="813" spans="1:20" ht="15">
      <c r="A813" s="206">
        <f>+A812*0.4</f>
        <v>0.48026619235062307</v>
      </c>
      <c r="B813" s="82"/>
      <c r="D813" s="42">
        <f>+D811-12.32</f>
        <v>-1.2740744316829495</v>
      </c>
      <c r="E813" s="21"/>
      <c r="I813" s="15" t="s">
        <v>0</v>
      </c>
      <c r="J813" s="35">
        <v>1</v>
      </c>
      <c r="K813" s="35"/>
      <c r="Q813" s="57">
        <f>+SQRT(Q805*Q807)</f>
        <v>4.598912915026767E-09</v>
      </c>
      <c r="R813" s="42">
        <f>-LOG10(Q813)</f>
        <v>8.337344814144469</v>
      </c>
      <c r="S813" s="21">
        <f>0.04-J810</f>
        <v>0.03986606073268191</v>
      </c>
      <c r="T813" s="21">
        <f>0.01*S814^2/S813</f>
        <v>4.499996841854988E-09</v>
      </c>
    </row>
    <row r="814" spans="5:20" ht="15">
      <c r="E814" s="50"/>
      <c r="F814" s="82"/>
      <c r="I814" s="15" t="s">
        <v>2</v>
      </c>
      <c r="J814" s="21">
        <f>Q809</f>
        <v>0.00013393931431809032</v>
      </c>
      <c r="K814" s="21"/>
      <c r="Q814" s="57">
        <f>+Q813/Q807</f>
        <v>97.84921095801633</v>
      </c>
      <c r="S814" s="21">
        <f>+J810-J818</f>
        <v>0.0001339392203181233</v>
      </c>
      <c r="T814" s="21"/>
    </row>
    <row r="815" spans="1:20" ht="15">
      <c r="A815" s="83">
        <f>10^-A808</f>
        <v>0.020892961308540403</v>
      </c>
      <c r="B815" s="35"/>
      <c r="E815" s="21"/>
      <c r="I815" s="15" t="s">
        <v>4</v>
      </c>
      <c r="J815" s="21">
        <f>-Q808</f>
        <v>-6.295145563950245E-15</v>
      </c>
      <c r="K815" s="21"/>
      <c r="Q815" s="21">
        <f>+Q813*Q814/Q805</f>
        <v>1</v>
      </c>
      <c r="S815" s="21">
        <f>J818</f>
        <v>4.699996701508155E-11</v>
      </c>
      <c r="T815" s="21"/>
    </row>
    <row r="816" spans="1:19" ht="15">
      <c r="A816" s="15"/>
      <c r="B816" s="21"/>
      <c r="I816" s="15" t="s">
        <v>7</v>
      </c>
      <c r="J816" s="21">
        <f>+(J814^2)-4*J813*J815</f>
        <v>1.7939765100582448E-08</v>
      </c>
      <c r="K816" s="21"/>
      <c r="Q816" s="57">
        <f>+Q815+Q814+1</f>
        <v>99.84921095801633</v>
      </c>
      <c r="S816" s="21">
        <f>SUM(S813:S815)</f>
        <v>0.04</v>
      </c>
    </row>
    <row r="817" spans="1:17" ht="15">
      <c r="A817" s="15"/>
      <c r="B817" s="21"/>
      <c r="I817" s="15" t="s">
        <v>6</v>
      </c>
      <c r="J817" s="21">
        <f>+SQRT(J816)</f>
        <v>0.00013393940831802435</v>
      </c>
      <c r="K817" s="21"/>
      <c r="Q817" s="57">
        <f>0.01/Q816</f>
        <v>0.00010015101675870736</v>
      </c>
    </row>
    <row r="818" spans="1:17" ht="15">
      <c r="A818" s="15">
        <f>24.3/2</f>
        <v>12.15</v>
      </c>
      <c r="B818" s="21">
        <f>7.4/24.305</f>
        <v>0.304464102036618</v>
      </c>
      <c r="I818" s="30" t="s">
        <v>8</v>
      </c>
      <c r="J818" s="50">
        <f>+(-J814+J817)/(2*J813)</f>
        <v>4.699996701508155E-11</v>
      </c>
      <c r="K818" s="50"/>
      <c r="Q818" s="57">
        <f>Q817^2</f>
        <v>1.0030226157802882E-08</v>
      </c>
    </row>
    <row r="819" spans="1:18" ht="15">
      <c r="A819" s="205">
        <f>A822*7.4/A818</f>
        <v>58764.71547082321</v>
      </c>
      <c r="B819" s="21">
        <f>+B818*2</f>
        <v>0.608928204073236</v>
      </c>
      <c r="I819" s="30" t="s">
        <v>9</v>
      </c>
      <c r="J819" s="21">
        <f>+(-J814-J817)/(2*J813)</f>
        <v>-0.00013393936131805733</v>
      </c>
      <c r="K819" s="21"/>
      <c r="Q819" s="57">
        <f>+(Q814*Q817)^2*Q817/Q817</f>
        <v>9.603408023428292E-05</v>
      </c>
      <c r="R819" s="90">
        <f>+(Q814*Q817)^2</f>
        <v>9.60340802342829E-05</v>
      </c>
    </row>
    <row r="820" spans="1:3" ht="15">
      <c r="A820" s="30">
        <f>+A819/3600</f>
        <v>16.32353207522867</v>
      </c>
      <c r="B820" s="50">
        <f>+B819*96845</f>
        <v>58971.65192347254</v>
      </c>
      <c r="C820" s="21"/>
    </row>
    <row r="821" spans="1:2" ht="15">
      <c r="A821" s="30"/>
      <c r="B821" s="30">
        <f>+B820/3600</f>
        <v>16.381014423186816</v>
      </c>
    </row>
    <row r="822" spans="1:19" ht="15">
      <c r="A822" s="45">
        <f>6.022136736E+23*0.00000000000000000016021773349</f>
        <v>96485.30986087865</v>
      </c>
      <c r="F822" s="58">
        <f>+G828+F829+4</f>
        <v>21.680587654664514</v>
      </c>
      <c r="G822" s="35">
        <f>+G828/F822</f>
        <v>0.48576932239325765</v>
      </c>
      <c r="H822" s="42">
        <f>+G822*3.5</f>
        <v>1.7001926283764017</v>
      </c>
      <c r="I822" s="15" t="s">
        <v>0</v>
      </c>
      <c r="J822" s="35">
        <v>1</v>
      </c>
      <c r="K822" s="35"/>
      <c r="Q822" s="21">
        <v>1E-14</v>
      </c>
      <c r="R822" s="20">
        <v>0.4</v>
      </c>
      <c r="S822" s="57">
        <f>0.1^2*0.00000000000001/0.3^4</f>
        <v>1.2345679012345682E-14</v>
      </c>
    </row>
    <row r="823" spans="1:19" ht="15">
      <c r="A823" s="20">
        <f>+(A820-16)*60</f>
        <v>19.41192451372018</v>
      </c>
      <c r="G823" s="35">
        <f>+F829/F822</f>
        <v>0.32973383353068186</v>
      </c>
      <c r="H823" s="42">
        <f>+G823*3.5</f>
        <v>1.1540684173573865</v>
      </c>
      <c r="I823" s="15" t="s">
        <v>2</v>
      </c>
      <c r="J823" s="21">
        <f>Q824</f>
        <v>1.6129032258064517E-05</v>
      </c>
      <c r="K823" s="21"/>
      <c r="Q823" s="21">
        <v>6.2E-10</v>
      </c>
      <c r="R823" s="21">
        <f>J827</f>
        <v>0.0025319508262746713</v>
      </c>
      <c r="S823" s="57">
        <f>0.0000000000000001/S822</f>
        <v>0.008099999999999998</v>
      </c>
    </row>
    <row r="824" spans="7:18" ht="15">
      <c r="G824" s="35">
        <f>4/F822</f>
        <v>0.18449684407606046</v>
      </c>
      <c r="H824" s="50">
        <f>+H822^8*H823^6</f>
        <v>164.95837418734027</v>
      </c>
      <c r="I824" s="15" t="s">
        <v>4</v>
      </c>
      <c r="J824" s="21">
        <f>-Q825</f>
        <v>-6.451612903225807E-06</v>
      </c>
      <c r="K824" s="21"/>
      <c r="Q824" s="21">
        <f>+Q822/Q823</f>
        <v>1.6129032258064517E-05</v>
      </c>
      <c r="R824" s="21">
        <f>+R822-R823</f>
        <v>0.39746804917372536</v>
      </c>
    </row>
    <row r="825" spans="7:17" ht="15">
      <c r="G825" s="20">
        <f>SUM(G822:G824)</f>
        <v>1</v>
      </c>
      <c r="I825" s="15" t="s">
        <v>7</v>
      </c>
      <c r="J825" s="21">
        <f>+(J823^2)-4*J822*J824</f>
        <v>2.580671175858481E-05</v>
      </c>
      <c r="K825" s="21"/>
      <c r="Q825" s="21">
        <f>+Q824*0.4</f>
        <v>6.451612903225807E-06</v>
      </c>
    </row>
    <row r="826" spans="9:11" ht="15">
      <c r="I826" s="15" t="s">
        <v>6</v>
      </c>
      <c r="J826" s="21">
        <f>+SQRT(J825)</f>
        <v>0.005080030684807407</v>
      </c>
      <c r="K826" s="21"/>
    </row>
    <row r="827" spans="9:14" ht="15">
      <c r="I827" s="30" t="s">
        <v>8</v>
      </c>
      <c r="J827" s="50">
        <f>+(-J823+J826)/(2*J822)</f>
        <v>0.0025319508262746713</v>
      </c>
      <c r="K827" s="50"/>
      <c r="L827" s="44">
        <f>-LOG10(J827)</f>
        <v>2.5965447331274087</v>
      </c>
      <c r="M827" s="44"/>
      <c r="N827" s="42">
        <f>14-L827</f>
        <v>11.40345526687259</v>
      </c>
    </row>
    <row r="828" spans="1:11" ht="15">
      <c r="A828" s="20">
        <f>4/1.75</f>
        <v>2.2857142857142856</v>
      </c>
      <c r="D828" s="20">
        <f>380*0.0013158</f>
        <v>0.500004</v>
      </c>
      <c r="E828" s="60">
        <f>3.5*D833</f>
        <v>841.9287645698835</v>
      </c>
      <c r="F828" s="58">
        <f>5+1.75*E832</f>
        <v>21.680587654664514</v>
      </c>
      <c r="G828" s="58">
        <f>1+E832</f>
        <v>10.531764374094008</v>
      </c>
      <c r="I828" s="30" t="s">
        <v>9</v>
      </c>
      <c r="J828" s="21">
        <f>+(-J823-J826)/(2*J822)</f>
        <v>-0.0025480798585327358</v>
      </c>
      <c r="K828" s="21"/>
    </row>
    <row r="829" spans="1:19" ht="15">
      <c r="A829" s="20">
        <f>1+A828</f>
        <v>3.2857142857142856</v>
      </c>
      <c r="B829" s="20">
        <f>+A829^8</f>
        <v>13584.33452967413</v>
      </c>
      <c r="D829" s="20">
        <f>+D828/5</f>
        <v>0.1000008</v>
      </c>
      <c r="E829" s="60">
        <f>5*0.0821*473</f>
        <v>194.1665</v>
      </c>
      <c r="F829" s="58">
        <f>+E832*6/8</f>
        <v>7.148823280570506</v>
      </c>
      <c r="Q829" s="57">
        <v>1E-14</v>
      </c>
      <c r="R829" s="20">
        <f>0.05*0.01/(0.2^4*0.05)</f>
        <v>6.2499999999999964</v>
      </c>
      <c r="S829" s="57">
        <f>0.0000000000000001/0.000000000000000003</f>
        <v>33.333333333333336</v>
      </c>
    </row>
    <row r="830" spans="1:18" ht="15">
      <c r="A830" s="20">
        <f>6/8*A828</f>
        <v>1.7142857142857142</v>
      </c>
      <c r="B830" s="20">
        <f>+A830^6</f>
        <v>25.38044522265382</v>
      </c>
      <c r="D830" s="20">
        <f>+D828*4/5</f>
        <v>0.4000032</v>
      </c>
      <c r="E830" s="60">
        <f>1.75*0.0821*473</f>
        <v>67.958275</v>
      </c>
      <c r="Q830" s="57">
        <f>0.0000000000000001*0.4^4/(Q829*0.1^2)</f>
        <v>0.025600000000000005</v>
      </c>
      <c r="R830" s="20">
        <f>0.0000000000000001/R829</f>
        <v>1.6000000000000007E-17</v>
      </c>
    </row>
    <row r="831" spans="2:8" ht="15">
      <c r="B831" s="20">
        <f>5^8*5^6</f>
        <v>6103515625</v>
      </c>
      <c r="D831" s="20">
        <f>+D829/D828</f>
        <v>0.2</v>
      </c>
      <c r="E831" s="60">
        <f>+E828-E829</f>
        <v>647.7622645698834</v>
      </c>
      <c r="G831" s="50">
        <f>+(G828/F828)^8*(F829/F828)^6</f>
        <v>3.984939632519858E-06</v>
      </c>
      <c r="H831" s="208" t="s">
        <v>39</v>
      </c>
    </row>
    <row r="832" spans="1:8" ht="15">
      <c r="A832" s="208" t="s">
        <v>39</v>
      </c>
      <c r="B832" s="50">
        <f>+(A829/5)^8*(A830/5)^6</f>
        <v>5.648817494697566E-05</v>
      </c>
      <c r="D832" s="20">
        <f>+D830/D828</f>
        <v>0.8</v>
      </c>
      <c r="E832" s="58">
        <f>+E831/E830</f>
        <v>9.531764374094008</v>
      </c>
      <c r="G832" s="50">
        <f>+G831*3.5^14</f>
        <v>164.95837418734027</v>
      </c>
      <c r="H832" s="208" t="s">
        <v>33</v>
      </c>
    </row>
    <row r="833" spans="1:18" ht="15">
      <c r="A833" s="208" t="s">
        <v>33</v>
      </c>
      <c r="B833" s="50">
        <f>+B832*3.5^14</f>
        <v>2338.353490733016</v>
      </c>
      <c r="D833" s="176">
        <f>5*0.0821*293/D828</f>
        <v>240.5510755913953</v>
      </c>
      <c r="E833" s="98" t="s">
        <v>376</v>
      </c>
      <c r="G833" s="50">
        <f>+G832/(0.0821*473)^14</f>
        <v>9.300669192387588E-21</v>
      </c>
      <c r="H833" s="208" t="s">
        <v>29</v>
      </c>
      <c r="Q833" s="20">
        <f>10^-4.61</f>
        <v>2.4547089156850252E-05</v>
      </c>
      <c r="R833" s="57">
        <f>+Q833^2/0.006</f>
        <v>1.0042659767905919E-07</v>
      </c>
    </row>
    <row r="834" spans="1:18" ht="15">
      <c r="A834" s="208" t="s">
        <v>29</v>
      </c>
      <c r="B834" s="50">
        <f>+B833/(0.0821*473)^14</f>
        <v>1.3184085002846497E-19</v>
      </c>
      <c r="C834" s="20">
        <f>+(A829/D833)^8*(A830/D833)^6</f>
        <v>1.5872135426840122E-28</v>
      </c>
      <c r="E834" s="20">
        <f>8+8*E832</f>
        <v>84.25411499275206</v>
      </c>
      <c r="R834" s="57">
        <f>+Q833^2/0.1</f>
        <v>6.0255958607435515E-09</v>
      </c>
    </row>
    <row r="835" spans="5:18" ht="15">
      <c r="E835" s="20">
        <f>6*E832</f>
        <v>57.190586244564045</v>
      </c>
      <c r="G835" s="50">
        <f>+(G828/D833)^8*(F829/D833)^6</f>
        <v>9.300669192387594E-21</v>
      </c>
      <c r="H835" s="208" t="s">
        <v>29</v>
      </c>
      <c r="R835" s="57">
        <f>0.00000000000001/0.1</f>
        <v>9.999999999999999E-14</v>
      </c>
    </row>
    <row r="836" spans="5:18" ht="15">
      <c r="E836" s="20">
        <f>+G828/F829</f>
        <v>1.473216494624767</v>
      </c>
      <c r="R836" s="57">
        <f>+R833-R834+R835</f>
        <v>9.440110181831564E-08</v>
      </c>
    </row>
    <row r="837" ht="15">
      <c r="E837" s="20">
        <f>+E834/E835</f>
        <v>1.473216494624767</v>
      </c>
    </row>
    <row r="839" spans="1:21" ht="18.75">
      <c r="A839" s="60">
        <f>380.12-12*18.02</f>
        <v>163.88</v>
      </c>
      <c r="G839" s="35">
        <v>0.1</v>
      </c>
      <c r="Q839" s="85" t="s">
        <v>8</v>
      </c>
      <c r="R839" s="85" t="s">
        <v>8</v>
      </c>
      <c r="S839" s="85" t="s">
        <v>9</v>
      </c>
      <c r="T839" s="85" t="s">
        <v>9</v>
      </c>
      <c r="U839" s="85"/>
    </row>
    <row r="840" spans="1:21" ht="15">
      <c r="A840" s="35">
        <f>100/A839</f>
        <v>0.61020258725897</v>
      </c>
      <c r="B840" s="21">
        <f>+A840*4</f>
        <v>2.44081034903588</v>
      </c>
      <c r="C840" s="44">
        <f>+B843/1.2*0.0821*298.15</f>
        <v>54.73870569185489</v>
      </c>
      <c r="D840" s="20">
        <f>1.2*1.12</f>
        <v>1.344</v>
      </c>
      <c r="G840" s="21">
        <v>1.8E-05</v>
      </c>
      <c r="Q840" s="7">
        <v>3</v>
      </c>
      <c r="R840" s="7">
        <v>4</v>
      </c>
      <c r="S840" s="7">
        <v>2</v>
      </c>
      <c r="T840" s="7">
        <v>1</v>
      </c>
      <c r="U840" s="7"/>
    </row>
    <row r="841" spans="1:21" ht="15">
      <c r="A841" s="35">
        <f>30/180</f>
        <v>0.16666666666666666</v>
      </c>
      <c r="B841" s="21">
        <f>+A841*1</f>
        <v>0.16666666666666666</v>
      </c>
      <c r="D841" s="42">
        <f>+A842*60</f>
        <v>4.500000000000001</v>
      </c>
      <c r="G841" s="21">
        <v>-1.8E-05</v>
      </c>
      <c r="J841" s="7" t="s">
        <v>147</v>
      </c>
      <c r="K841" s="7"/>
      <c r="L841" s="7" t="s">
        <v>145</v>
      </c>
      <c r="M841" s="7"/>
      <c r="N841" s="7" t="s">
        <v>133</v>
      </c>
      <c r="Q841" s="7" t="s">
        <v>134</v>
      </c>
      <c r="R841" s="7" t="s">
        <v>137</v>
      </c>
      <c r="S841" s="7" t="s">
        <v>138</v>
      </c>
      <c r="T841" s="7" t="s">
        <v>146</v>
      </c>
      <c r="U841" s="7"/>
    </row>
    <row r="842" spans="1:21" ht="15">
      <c r="A842" s="20">
        <f>0.75*0.1</f>
        <v>0.07500000000000001</v>
      </c>
      <c r="B842" s="21">
        <f>+A842*F844</f>
        <v>0.07599950322980849</v>
      </c>
      <c r="D842" s="20">
        <v>100</v>
      </c>
      <c r="G842" s="21">
        <f>+(G840^2)-4*G839*G841</f>
        <v>7.200324E-06</v>
      </c>
      <c r="I842" s="91" t="s">
        <v>56</v>
      </c>
      <c r="J842" s="8">
        <v>0.01</v>
      </c>
      <c r="K842" s="150"/>
      <c r="L842" s="16">
        <v>0.1</v>
      </c>
      <c r="M842" s="16"/>
      <c r="N842" s="16">
        <v>0.1</v>
      </c>
      <c r="Q842" s="8">
        <v>1.36</v>
      </c>
      <c r="R842" s="8">
        <v>1.23</v>
      </c>
      <c r="S842" s="8">
        <v>-0.83</v>
      </c>
      <c r="T842" s="8">
        <v>-2.71</v>
      </c>
      <c r="U842" s="8"/>
    </row>
    <row r="843" spans="1:21" ht="15">
      <c r="A843" s="21"/>
      <c r="B843" s="21">
        <f>SUM(B840:B842)</f>
        <v>2.683476518932355</v>
      </c>
      <c r="D843" s="20">
        <v>30</v>
      </c>
      <c r="G843" s="21">
        <f>+SQRT(G842)</f>
        <v>0.0026833419461559497</v>
      </c>
      <c r="I843" s="7"/>
      <c r="J843" s="11"/>
      <c r="K843" s="149"/>
      <c r="L843" s="11"/>
      <c r="M843" s="11"/>
      <c r="N843" s="83"/>
      <c r="Q843" s="11">
        <f>+LOG10(1/(N842^2))</f>
        <v>2</v>
      </c>
      <c r="R843" s="11">
        <f>+LOG10(1*(0.000000000001)^4)</f>
        <v>-48</v>
      </c>
      <c r="S843" s="11">
        <f>+LOG10(1/0.01^2)</f>
        <v>4</v>
      </c>
      <c r="T843" s="11">
        <f>+LOG10(L842)</f>
        <v>-1</v>
      </c>
      <c r="U843" s="11"/>
    </row>
    <row r="844" spans="4:21" ht="15">
      <c r="D844" s="35">
        <f>SUM(D841:D843)/1000</f>
        <v>0.1345</v>
      </c>
      <c r="F844" s="21">
        <f>1+G844</f>
        <v>1.0133267097307797</v>
      </c>
      <c r="G844" s="50">
        <f>+(-G840+G843)/(2*G839)</f>
        <v>0.013326709730779748</v>
      </c>
      <c r="I844" s="7"/>
      <c r="J844" s="83"/>
      <c r="K844" s="83"/>
      <c r="L844" s="83"/>
      <c r="M844" s="83"/>
      <c r="N844" s="83"/>
      <c r="Q844" s="91">
        <f>Q842+0.05916/2*Q843</f>
        <v>1.4191600000000002</v>
      </c>
      <c r="R844" s="91">
        <f>R842+0.05916/4*R843</f>
        <v>0.52008</v>
      </c>
      <c r="S844" s="91">
        <f>S842+0.05916/2*S843</f>
        <v>-0.71168</v>
      </c>
      <c r="T844" s="91">
        <f>T842+0.05916*T843</f>
        <v>-2.76916</v>
      </c>
      <c r="U844" s="86"/>
    </row>
    <row r="845" spans="4:21" ht="15">
      <c r="D845" s="35">
        <f>+D840-D844</f>
        <v>1.2095</v>
      </c>
      <c r="G845" s="21">
        <f>+(-G840-G843)/(2*G839)</f>
        <v>-0.013506709730779746</v>
      </c>
      <c r="I845" s="7"/>
      <c r="J845" s="83">
        <f>+J842^2/N842^2</f>
        <v>0.009999999999999998</v>
      </c>
      <c r="K845" s="83"/>
      <c r="L845" s="83"/>
      <c r="M845" s="83"/>
      <c r="N845" s="83"/>
      <c r="R845" s="11"/>
      <c r="U845" s="11"/>
    </row>
    <row r="846" spans="4:21" ht="15">
      <c r="D846" s="42">
        <f>+B843/D845</f>
        <v>2.2186659933297683</v>
      </c>
      <c r="E846" s="20" t="s">
        <v>30</v>
      </c>
      <c r="J846" s="9">
        <f>+LOG10(J845)</f>
        <v>-2</v>
      </c>
      <c r="K846" s="148"/>
      <c r="R846" s="86"/>
      <c r="U846" s="86"/>
    </row>
    <row r="847" spans="4:11" ht="15">
      <c r="D847" s="42">
        <f>+D846*1.86</f>
        <v>4.126718747593369</v>
      </c>
      <c r="J847" s="8">
        <f>+J846*0.059/2</f>
        <v>-0.059</v>
      </c>
      <c r="K847" s="150"/>
    </row>
    <row r="848" spans="10:20" ht="15">
      <c r="J848" s="92">
        <f>+S842-Q842-J847</f>
        <v>-2.131</v>
      </c>
      <c r="K848" s="92"/>
      <c r="Q848" s="51"/>
      <c r="R848" s="54"/>
      <c r="S848" s="35"/>
      <c r="T848" s="54"/>
    </row>
    <row r="849" spans="17:20" ht="15">
      <c r="Q849" s="87" t="s">
        <v>139</v>
      </c>
      <c r="R849" s="93">
        <f>+T844-Q844</f>
        <v>-4.18832</v>
      </c>
      <c r="S849" s="35"/>
      <c r="T849" s="54"/>
    </row>
    <row r="850" spans="17:18" ht="15">
      <c r="Q850" s="87" t="s">
        <v>141</v>
      </c>
      <c r="R850" s="93">
        <f>+T844-R844</f>
        <v>-3.28924</v>
      </c>
    </row>
    <row r="851" spans="1:18" ht="15">
      <c r="A851" s="211">
        <f>11.43/114.34</f>
        <v>0.09996501661710687</v>
      </c>
      <c r="B851" s="83">
        <v>0.2</v>
      </c>
      <c r="C851" s="95">
        <f>+A852-B852</f>
        <v>0.09993003323421373</v>
      </c>
      <c r="D851" s="21">
        <v>0.000178</v>
      </c>
      <c r="E851" s="21">
        <f>0.00000000000001/0.000178</f>
        <v>5.617977528089888E-11</v>
      </c>
      <c r="Q851" s="87" t="s">
        <v>140</v>
      </c>
      <c r="R851" s="93">
        <f>+S844-Q844</f>
        <v>-2.13084</v>
      </c>
    </row>
    <row r="852" spans="1:18" ht="15">
      <c r="A852" s="209">
        <f>+A851*2</f>
        <v>0.19993003323421374</v>
      </c>
      <c r="B852" s="210">
        <f>+B851*0.5</f>
        <v>0.1</v>
      </c>
      <c r="C852" s="82"/>
      <c r="D852" s="21">
        <f>+D851*B852/C851</f>
        <v>0.00017812462804130932</v>
      </c>
      <c r="E852" s="21">
        <f>+SQRT(E851*0.2)</f>
        <v>3.3520076157699547E-06</v>
      </c>
      <c r="Q852" s="87" t="s">
        <v>143</v>
      </c>
      <c r="R852" s="93">
        <f>+S844-R844</f>
        <v>-1.23176</v>
      </c>
    </row>
    <row r="853" spans="1:5" ht="15">
      <c r="A853" s="210"/>
      <c r="D853" s="44">
        <f>-LOG10(D852)</f>
        <v>3.7492760295373824</v>
      </c>
      <c r="E853" s="42">
        <f>-LOG10(E852)</f>
        <v>5.474695003322457</v>
      </c>
    </row>
    <row r="854" spans="1:5" ht="15">
      <c r="A854" s="83"/>
      <c r="E854" s="44">
        <f>14-E853</f>
        <v>8.525304996677544</v>
      </c>
    </row>
    <row r="855" spans="1:19" ht="15">
      <c r="A855" s="206"/>
      <c r="B855" s="82"/>
      <c r="D855" s="42"/>
      <c r="Q855" s="21">
        <v>1.8E-05</v>
      </c>
      <c r="S855" s="21">
        <f>+Q865+Q860</f>
        <v>0.032516566365743405</v>
      </c>
    </row>
    <row r="856" spans="17:19" ht="15">
      <c r="Q856" s="42">
        <f>-LOG10(Q855)</f>
        <v>4.7447274948966935</v>
      </c>
      <c r="S856" s="21">
        <f>+Q865-Q860</f>
        <v>0.0205165663657434</v>
      </c>
    </row>
    <row r="857" spans="1:19" ht="15">
      <c r="A857" s="83"/>
      <c r="B857" s="35"/>
      <c r="Q857" s="20">
        <v>0.2</v>
      </c>
      <c r="S857" s="21">
        <f>+S855/S856</f>
        <v>1.5848931924611156</v>
      </c>
    </row>
    <row r="858" spans="7:19" ht="15">
      <c r="G858" s="35">
        <v>1</v>
      </c>
      <c r="Q858" s="42">
        <f>+Q856-Q857</f>
        <v>4.544727494896693</v>
      </c>
      <c r="S858" s="21">
        <f>+Q855*S857</f>
        <v>2.8528077464300083E-05</v>
      </c>
    </row>
    <row r="859" spans="7:19" ht="15">
      <c r="G859" s="21">
        <v>0.00056</v>
      </c>
      <c r="Q859" s="21">
        <f>10^-Q858</f>
        <v>2.8528077464300076E-05</v>
      </c>
      <c r="S859" s="21"/>
    </row>
    <row r="860" spans="7:17" ht="15">
      <c r="G860" s="21">
        <v>-5.6E-06</v>
      </c>
      <c r="Q860" s="20">
        <v>0.006</v>
      </c>
    </row>
    <row r="861" spans="7:17" ht="15">
      <c r="G861" s="21">
        <f>+(G859^2)-4*G858*G860</f>
        <v>2.27136E-05</v>
      </c>
      <c r="Q861" s="21">
        <f>+Q859*Q860</f>
        <v>1.7116846478580046E-07</v>
      </c>
    </row>
    <row r="862" spans="7:17" ht="15">
      <c r="G862" s="21">
        <f>+SQRT(G861)</f>
        <v>0.004765878722754074</v>
      </c>
      <c r="Q862" s="20">
        <f>+Q855*Q860</f>
        <v>1.08E-07</v>
      </c>
    </row>
    <row r="863" spans="7:17" ht="15">
      <c r="G863" s="50">
        <f>+(-G859+G862)/(2*G858)</f>
        <v>0.002102939361377037</v>
      </c>
      <c r="H863" s="58">
        <f>-LOG10(G863)</f>
        <v>2.6771732500902012</v>
      </c>
      <c r="Q863" s="21">
        <f>+Q859-Q855</f>
        <v>1.0528077464300075E-05</v>
      </c>
    </row>
    <row r="864" spans="7:17" ht="15">
      <c r="G864" s="21">
        <f>+(-G859-G862)/(2*G858)</f>
        <v>-0.002662939361377037</v>
      </c>
      <c r="H864" s="58">
        <f>14-H863</f>
        <v>11.3228267499098</v>
      </c>
      <c r="Q864" s="21">
        <f>+Q861+Q862</f>
        <v>2.791684647858005E-07</v>
      </c>
    </row>
    <row r="865" ht="15">
      <c r="Q865" s="21">
        <f>+Q864/Q863</f>
        <v>0.026516566365743403</v>
      </c>
    </row>
    <row r="866" spans="7:17" ht="15">
      <c r="G866" s="20">
        <f>+SQRT(0.00056*0.01)</f>
        <v>0.002366431913239846</v>
      </c>
      <c r="H866" s="58">
        <f>-LOG10(G866)</f>
        <v>2.6259059864968997</v>
      </c>
      <c r="Q866" s="35">
        <f>+Q865*10</f>
        <v>0.26516566365743405</v>
      </c>
    </row>
    <row r="867" ht="15">
      <c r="H867" s="58">
        <f>14-H866</f>
        <v>11.3740940135031</v>
      </c>
    </row>
    <row r="868" spans="14:18" ht="15">
      <c r="N868" s="7" t="s">
        <v>32</v>
      </c>
      <c r="O868" s="7" t="s">
        <v>11</v>
      </c>
      <c r="P868" s="7"/>
      <c r="Q868" s="7" t="s">
        <v>57</v>
      </c>
      <c r="R868" s="7" t="s">
        <v>33</v>
      </c>
    </row>
    <row r="869" spans="1:18" ht="15">
      <c r="A869" s="21">
        <f>0.1*0.00000001/0.5</f>
        <v>2E-09</v>
      </c>
      <c r="B869" s="21">
        <f>+(4.7E-32/108)^(1/5)</f>
        <v>2.1268400043500862E-07</v>
      </c>
      <c r="C869" s="54">
        <f>+A872-B873</f>
        <v>1.8443804553224628</v>
      </c>
      <c r="D869" s="20">
        <v>0.02</v>
      </c>
      <c r="E869" s="54">
        <f>+A872-D872</f>
        <v>1.7112937072770076</v>
      </c>
      <c r="J869" s="20">
        <f>3-1.34</f>
        <v>1.66</v>
      </c>
      <c r="L869" s="68" t="s">
        <v>58</v>
      </c>
      <c r="M869" s="68"/>
      <c r="N869" s="32">
        <f>0.5-J870</f>
        <v>0.09638554216867468</v>
      </c>
      <c r="O869" s="20">
        <f>+N869/$N$873</f>
        <v>0.05333333333333332</v>
      </c>
      <c r="Q869" s="35">
        <f>+O869*5</f>
        <v>0.2666666666666666</v>
      </c>
      <c r="R869" s="32">
        <f>+Q871^3</f>
        <v>37.595375000000004</v>
      </c>
    </row>
    <row r="870" spans="1:18" ht="15">
      <c r="A870" s="20">
        <f>+LOG10(A869)</f>
        <v>-8.698970004336019</v>
      </c>
      <c r="B870" s="21">
        <f>+B869*3</f>
        <v>6.380520013050258E-07</v>
      </c>
      <c r="D870" s="42">
        <f>+LOG10(D869)</f>
        <v>-1.6989700043360187</v>
      </c>
      <c r="J870" s="35">
        <f>0.67/J869</f>
        <v>0.4036144578313253</v>
      </c>
      <c r="K870" s="35"/>
      <c r="L870" s="68" t="s">
        <v>59</v>
      </c>
      <c r="M870" s="68"/>
      <c r="N870" s="32">
        <f>0.5-J870</f>
        <v>0.09638554216867468</v>
      </c>
      <c r="O870" s="20">
        <f>+N870/$N$873</f>
        <v>0.05333333333333332</v>
      </c>
      <c r="Q870" s="35">
        <f>+O870*5</f>
        <v>0.2666666666666666</v>
      </c>
      <c r="R870" s="20">
        <f>+R869*Q872</f>
        <v>41.98150208333334</v>
      </c>
    </row>
    <row r="871" spans="1:18" ht="15">
      <c r="A871" s="35">
        <f>+A870*0.0592/5</f>
        <v>-0.10299580485133845</v>
      </c>
      <c r="B871" s="42">
        <f>+LOG10(B870)</f>
        <v>-6.195143924790585</v>
      </c>
      <c r="D871" s="35">
        <f>0.0592/2*D870</f>
        <v>-0.050289512128346155</v>
      </c>
      <c r="J871" s="44">
        <f>1+2*J870</f>
        <v>1.8072289156626506</v>
      </c>
      <c r="K871" s="44"/>
      <c r="L871" s="68" t="s">
        <v>148</v>
      </c>
      <c r="M871" s="68"/>
      <c r="N871" s="42">
        <f>3*J870</f>
        <v>1.2108433734939759</v>
      </c>
      <c r="O871" s="35">
        <f>+N871/$N$873</f>
        <v>0.67</v>
      </c>
      <c r="P871" s="35"/>
      <c r="Q871" s="42">
        <f>+O871*5</f>
        <v>3.35</v>
      </c>
      <c r="R871" s="20">
        <f>+Q869*Q870</f>
        <v>0.07111111111111108</v>
      </c>
    </row>
    <row r="872" spans="1:18" ht="15">
      <c r="A872" s="54">
        <f>1.507+A871</f>
        <v>1.4040041951486615</v>
      </c>
      <c r="B872" s="35">
        <f>0.0592/2*B871</f>
        <v>-0.18337626017380132</v>
      </c>
      <c r="D872" s="54">
        <f>+-0.257+D871</f>
        <v>-0.30728951212834615</v>
      </c>
      <c r="L872" s="68" t="s">
        <v>149</v>
      </c>
      <c r="M872" s="68"/>
      <c r="N872" s="35">
        <f>J870</f>
        <v>0.4036144578313253</v>
      </c>
      <c r="O872" s="35">
        <f>+N872/$N$873</f>
        <v>0.22333333333333336</v>
      </c>
      <c r="P872" s="35"/>
      <c r="Q872" s="42">
        <f>+O872*5</f>
        <v>1.1166666666666667</v>
      </c>
      <c r="R872" s="20">
        <f>+R870/R871</f>
        <v>590.3648730468753</v>
      </c>
    </row>
    <row r="873" spans="2:17" ht="15">
      <c r="B873" s="54">
        <f>+-0.257+B872</f>
        <v>-0.4403762601738013</v>
      </c>
      <c r="N873" s="44">
        <f>SUM(N869:N872)</f>
        <v>1.8072289156626504</v>
      </c>
      <c r="O873" s="44">
        <f>SUM(O869:O872)</f>
        <v>1</v>
      </c>
      <c r="P873" s="44"/>
      <c r="Q873" s="44">
        <f>SUM(Q869:Q872)</f>
        <v>5</v>
      </c>
    </row>
    <row r="875" spans="14:21" ht="15">
      <c r="N875" s="20">
        <v>0.8072</v>
      </c>
      <c r="O875" s="20">
        <f>1.5-0.67</f>
        <v>0.83</v>
      </c>
      <c r="Q875" s="32">
        <f>0.5-0.5*O876</f>
        <v>0.09638554216867468</v>
      </c>
      <c r="R875" s="68" t="s">
        <v>58</v>
      </c>
      <c r="S875" s="32">
        <f>+((0.5-(0.5*O876))/(1+O876))</f>
        <v>0.053333333333333316</v>
      </c>
      <c r="T875" s="20">
        <f>3*7.5*7.5</f>
        <v>168.75</v>
      </c>
      <c r="U875" s="20">
        <f>+T877/T880</f>
        <v>590.3648730468755</v>
      </c>
    </row>
    <row r="876" spans="14:20" ht="15">
      <c r="N876" s="20">
        <f>1+N875</f>
        <v>1.8072</v>
      </c>
      <c r="O876" s="32">
        <f>0.67/O875</f>
        <v>0.8072289156626506</v>
      </c>
      <c r="P876" s="32"/>
      <c r="Q876" s="32">
        <f>0.5-0.5*O876</f>
        <v>0.09638554216867468</v>
      </c>
      <c r="R876" s="68" t="s">
        <v>59</v>
      </c>
      <c r="S876" s="32">
        <f>+S875</f>
        <v>0.053333333333333316</v>
      </c>
      <c r="T876" s="20">
        <f>+O876^4</f>
        <v>0.4246066985808454</v>
      </c>
    </row>
    <row r="877" spans="14:20" ht="15">
      <c r="N877" s="20">
        <f>1-N875</f>
        <v>0.19279999999999997</v>
      </c>
      <c r="Q877" s="20">
        <f>1.5*O876</f>
        <v>1.2108433734939759</v>
      </c>
      <c r="R877" s="68" t="s">
        <v>148</v>
      </c>
      <c r="S877" s="42">
        <f>1.5*O876/(1+O876)</f>
        <v>0.6699999999999999</v>
      </c>
      <c r="T877" s="20">
        <f>+T875*T876</f>
        <v>71.65238038551766</v>
      </c>
    </row>
    <row r="878" spans="1:20" ht="15">
      <c r="A878" s="20">
        <f>0.01*0.01^2</f>
        <v>1.0000000000000002E-06</v>
      </c>
      <c r="N878" s="42">
        <f>+(N875^2/(N876*N877))*5</f>
        <v>9.35016044627392</v>
      </c>
      <c r="Q878" s="20">
        <f>0.5*O876</f>
        <v>0.4036144578313253</v>
      </c>
      <c r="R878" s="68" t="s">
        <v>149</v>
      </c>
      <c r="S878" s="35">
        <f>0.5*O876/(1+O876)</f>
        <v>0.22333333333333333</v>
      </c>
      <c r="T878" s="20">
        <f>+(1+O876)^2</f>
        <v>3.2660763536072</v>
      </c>
    </row>
    <row r="879" spans="1:20" ht="15">
      <c r="A879" s="20">
        <f>1-0.01</f>
        <v>0.99</v>
      </c>
      <c r="S879" s="44">
        <f>SUM(S875:S878)</f>
        <v>1</v>
      </c>
      <c r="T879" s="20">
        <f>+(1-O876)^2</f>
        <v>0.03716069095659746</v>
      </c>
    </row>
    <row r="880" spans="1:20" ht="15">
      <c r="A880" s="21">
        <f>+A878/A879</f>
        <v>1.0101010101010103E-06</v>
      </c>
      <c r="T880" s="20">
        <f>+T878*T879</f>
        <v>0.12136965401704787</v>
      </c>
    </row>
    <row r="882" spans="4:18" ht="23.25">
      <c r="D882" s="51" t="s">
        <v>29</v>
      </c>
      <c r="E882" s="51" t="s">
        <v>33</v>
      </c>
      <c r="F882" s="51" t="s">
        <v>461</v>
      </c>
      <c r="Q882" s="94" t="s">
        <v>8</v>
      </c>
      <c r="R882" s="94" t="s">
        <v>9</v>
      </c>
    </row>
    <row r="883" spans="1:20" ht="15">
      <c r="A883" s="21">
        <f>1.1*15/0.082/1473</f>
        <v>0.13660523570612487</v>
      </c>
      <c r="B883" s="32">
        <f>+A884-A886</f>
        <v>0.03360771040593209</v>
      </c>
      <c r="C883" s="31">
        <f>+B883/15</f>
        <v>0.0022405140270621393</v>
      </c>
      <c r="D883" s="21">
        <f>+C885*C884^2/C883^2</f>
        <v>0.009554489465986917</v>
      </c>
      <c r="E883" s="42">
        <f>+D883*(0.082*1473)^1</f>
        <v>1.1540485646386958</v>
      </c>
      <c r="F883" s="32">
        <f>+A884-B883</f>
        <v>0.06866501686679519</v>
      </c>
      <c r="J883" s="7" t="s">
        <v>150</v>
      </c>
      <c r="K883" s="7"/>
      <c r="L883" s="7" t="s">
        <v>151</v>
      </c>
      <c r="M883" s="7"/>
      <c r="N883" s="7" t="s">
        <v>154</v>
      </c>
      <c r="Q883" s="7" t="s">
        <v>152</v>
      </c>
      <c r="R883" s="7" t="s">
        <v>153</v>
      </c>
      <c r="S883" s="8"/>
      <c r="T883" s="8"/>
    </row>
    <row r="884" spans="1:20" ht="15">
      <c r="A884" s="46">
        <f>4.5/44</f>
        <v>0.10227272727272728</v>
      </c>
      <c r="B884" s="32">
        <f>A886</f>
        <v>0.06866501686679519</v>
      </c>
      <c r="C884" s="31">
        <f>+B884/15</f>
        <v>0.004577667791119679</v>
      </c>
      <c r="F884" s="21">
        <f>+F883/A884</f>
        <v>0.6713912760308862</v>
      </c>
      <c r="I884" s="7"/>
      <c r="J884" s="16"/>
      <c r="K884" s="16"/>
      <c r="L884" s="16"/>
      <c r="M884" s="16"/>
      <c r="N884" s="83"/>
      <c r="Q884" s="8">
        <v>-0.16</v>
      </c>
      <c r="R884" s="8">
        <v>-0.41</v>
      </c>
      <c r="S884" s="8"/>
      <c r="T884" s="8">
        <f>+Q884-R884</f>
        <v>0.24999999999999997</v>
      </c>
    </row>
    <row r="885" spans="1:20" ht="15">
      <c r="A885" s="21">
        <f>+A883-A884</f>
        <v>0.03433250843339759</v>
      </c>
      <c r="B885" s="32">
        <f>+A886/2</f>
        <v>0.03433250843339759</v>
      </c>
      <c r="C885" s="31">
        <f>+B885/15</f>
        <v>0.0022888338955598395</v>
      </c>
      <c r="I885" s="7"/>
      <c r="J885" s="11"/>
      <c r="K885" s="149"/>
      <c r="L885" s="11"/>
      <c r="M885" s="11"/>
      <c r="N885" s="83"/>
      <c r="Q885" s="11">
        <f>+LOG10(N887)</f>
        <v>-0.6989700043360187</v>
      </c>
      <c r="R885" s="11">
        <f>+LOG10(L887/J887)</f>
        <v>0.22184874961635645</v>
      </c>
      <c r="S885" s="8"/>
      <c r="T885" s="11">
        <f>+LOG10(L887^2/(J887^2*N887))</f>
        <v>1.1426675035687317</v>
      </c>
    </row>
    <row r="886" spans="1:20" ht="15">
      <c r="A886" s="32">
        <f>+A885*2</f>
        <v>0.06866501686679519</v>
      </c>
      <c r="I886" s="7" t="s">
        <v>129</v>
      </c>
      <c r="J886" s="83">
        <v>0.3</v>
      </c>
      <c r="K886" s="83"/>
      <c r="L886" s="83">
        <v>0.5</v>
      </c>
      <c r="M886" s="83"/>
      <c r="N886" s="83"/>
      <c r="Q886" s="91">
        <f>Q884+0.059/2*Q885</f>
        <v>-0.18061961512791255</v>
      </c>
      <c r="R886" s="91">
        <f>R884+0.059*R885</f>
        <v>-0.3969109237726349</v>
      </c>
      <c r="S886" s="91">
        <f>+Q886-R886</f>
        <v>0.21629130864472237</v>
      </c>
      <c r="T886" s="91">
        <f>+T884-0.059/2*T885</f>
        <v>0.2162913086447224</v>
      </c>
    </row>
    <row r="887" spans="9:18" ht="15">
      <c r="I887" s="7" t="s">
        <v>130</v>
      </c>
      <c r="J887" s="95">
        <f>+J886/0.8</f>
        <v>0.37499999999999994</v>
      </c>
      <c r="K887" s="95"/>
      <c r="L887" s="95">
        <f>+L886/0.8</f>
        <v>0.625</v>
      </c>
      <c r="M887" s="95"/>
      <c r="N887" s="95">
        <v>0.2</v>
      </c>
      <c r="R887" s="11"/>
    </row>
    <row r="888" ht="15">
      <c r="R888" s="86"/>
    </row>
    <row r="890" spans="19:22" ht="23.25">
      <c r="S890" s="7"/>
      <c r="U890" s="94" t="s">
        <v>8</v>
      </c>
      <c r="V890" s="94" t="s">
        <v>9</v>
      </c>
    </row>
    <row r="891" spans="10:24" ht="15">
      <c r="J891" s="7" t="s">
        <v>150</v>
      </c>
      <c r="K891" s="7"/>
      <c r="L891" s="7" t="s">
        <v>151</v>
      </c>
      <c r="M891" s="7"/>
      <c r="N891" s="7" t="s">
        <v>154</v>
      </c>
      <c r="O891" s="7" t="s">
        <v>133</v>
      </c>
      <c r="P891" s="7"/>
      <c r="Q891" s="7" t="s">
        <v>155</v>
      </c>
      <c r="R891" s="7" t="s">
        <v>156</v>
      </c>
      <c r="S891" s="7" t="s">
        <v>134</v>
      </c>
      <c r="T891" s="7" t="s">
        <v>157</v>
      </c>
      <c r="U891" s="7" t="s">
        <v>152</v>
      </c>
      <c r="V891" s="7" t="s">
        <v>153</v>
      </c>
      <c r="W891" s="8"/>
      <c r="X891" s="8"/>
    </row>
    <row r="892" spans="4:24" ht="15">
      <c r="D892" s="51" t="s">
        <v>39</v>
      </c>
      <c r="E892" s="51" t="s">
        <v>33</v>
      </c>
      <c r="F892" s="51" t="s">
        <v>182</v>
      </c>
      <c r="H892" s="51" t="s">
        <v>29</v>
      </c>
      <c r="I892" s="7"/>
      <c r="J892" s="16"/>
      <c r="K892" s="16"/>
      <c r="L892" s="16"/>
      <c r="M892" s="16"/>
      <c r="N892" s="83"/>
      <c r="S892" s="8">
        <v>1.36</v>
      </c>
      <c r="T892" s="8">
        <v>0.96</v>
      </c>
      <c r="U892" s="8">
        <v>-0.16</v>
      </c>
      <c r="V892" s="8">
        <v>-0.41</v>
      </c>
      <c r="W892" s="8"/>
      <c r="X892" s="8">
        <f>+U892-V892</f>
        <v>0.24999999999999997</v>
      </c>
    </row>
    <row r="893" spans="1:24" ht="15">
      <c r="A893" s="119" t="s">
        <v>27</v>
      </c>
      <c r="B893" s="20">
        <v>1</v>
      </c>
      <c r="C893" s="42">
        <v>0.1</v>
      </c>
      <c r="D893" s="58">
        <f>+C895^2/C893/C894^3</f>
        <v>6400</v>
      </c>
      <c r="E893" s="20">
        <v>25</v>
      </c>
      <c r="F893" s="20">
        <f>+E893/D893</f>
        <v>0.00390625</v>
      </c>
      <c r="H893" s="95">
        <f>+$E$893/(0.0821*500)^-2</f>
        <v>42127.562500000015</v>
      </c>
      <c r="I893" s="7"/>
      <c r="J893" s="11"/>
      <c r="K893" s="149"/>
      <c r="L893" s="11"/>
      <c r="M893" s="11"/>
      <c r="N893" s="83"/>
      <c r="S893" s="11">
        <f>+LOG10(1/(O895^2))</f>
        <v>0.2498774732166001</v>
      </c>
      <c r="T893" s="11">
        <f>+LOG10(R895*0.0000001^4)</f>
        <v>-28.397940008672037</v>
      </c>
      <c r="U893" s="11">
        <f>+LOG10(N895)</f>
        <v>-0.6989700043360187</v>
      </c>
      <c r="V893" s="11">
        <f>+LOG10(L895/J895)</f>
        <v>0.22184874961635645</v>
      </c>
      <c r="W893" s="8"/>
      <c r="X893" s="11">
        <f>+LOG10(L895^2/(J895^2*N895))</f>
        <v>1.1426675035687317</v>
      </c>
    </row>
    <row r="894" spans="1:24" ht="15">
      <c r="A894" s="119" t="s">
        <v>463</v>
      </c>
      <c r="B894" s="20">
        <v>3</v>
      </c>
      <c r="C894" s="42">
        <v>0.1</v>
      </c>
      <c r="D894" s="83">
        <f>+E893*G894^-2</f>
        <v>0.0625</v>
      </c>
      <c r="E894" s="20">
        <f>+H894*(0.0821*1000)^-2</f>
        <v>25</v>
      </c>
      <c r="F894" s="44">
        <f>+SQRT(1/F893)</f>
        <v>16</v>
      </c>
      <c r="G894" s="20">
        <v>20</v>
      </c>
      <c r="H894" s="95">
        <f>+$E$893/(0.0821*1000)^-2</f>
        <v>168510.25000000006</v>
      </c>
      <c r="I894" s="7" t="s">
        <v>129</v>
      </c>
      <c r="J894" s="83">
        <v>0.3</v>
      </c>
      <c r="K894" s="83"/>
      <c r="L894" s="83">
        <v>0.5</v>
      </c>
      <c r="M894" s="83"/>
      <c r="N894" s="83"/>
      <c r="O894" s="83">
        <v>0.6</v>
      </c>
      <c r="P894" s="83"/>
      <c r="Q894" s="83">
        <f>+L894*3</f>
        <v>1.5</v>
      </c>
      <c r="S894" s="91">
        <f>S892+0.05916/2*S893</f>
        <v>1.3673913756577472</v>
      </c>
      <c r="T894" s="91">
        <f>T892+0.05916/3*T893</f>
        <v>0.3999926230289874</v>
      </c>
      <c r="U894" s="91">
        <f>U892+0.059/2*U893</f>
        <v>-0.18061961512791255</v>
      </c>
      <c r="V894" s="91">
        <f>V892+0.059*V893</f>
        <v>-0.3969109237726349</v>
      </c>
      <c r="W894" s="91">
        <f>+U894-V894</f>
        <v>0.21629130864472237</v>
      </c>
      <c r="X894" s="91">
        <f>+X892-0.059/2*X893</f>
        <v>0.2162913086447224</v>
      </c>
    </row>
    <row r="895" spans="1:18" ht="15">
      <c r="A895" s="119" t="s">
        <v>462</v>
      </c>
      <c r="B895" s="20">
        <v>2</v>
      </c>
      <c r="C895" s="42">
        <v>0.8</v>
      </c>
      <c r="I895" s="7" t="s">
        <v>130</v>
      </c>
      <c r="J895" s="95">
        <f>+J894/0.8</f>
        <v>0.37499999999999994</v>
      </c>
      <c r="K895" s="95"/>
      <c r="L895" s="95">
        <f>+L894/0.8</f>
        <v>0.625</v>
      </c>
      <c r="M895" s="95"/>
      <c r="N895" s="95">
        <v>0.2</v>
      </c>
      <c r="O895" s="95">
        <f>+O894/0.8</f>
        <v>0.7499999999999999</v>
      </c>
      <c r="P895" s="95"/>
      <c r="Q895" s="95">
        <f>+Q894/0.8</f>
        <v>1.875</v>
      </c>
      <c r="R895" s="16">
        <f>+N895*2</f>
        <v>0.4</v>
      </c>
    </row>
    <row r="897" spans="1:2" ht="15">
      <c r="A897" s="20" t="s">
        <v>499</v>
      </c>
      <c r="B897" s="21">
        <v>0.274</v>
      </c>
    </row>
    <row r="898" spans="1:2" ht="15">
      <c r="A898" s="20" t="s">
        <v>500</v>
      </c>
      <c r="B898" s="21">
        <v>0.0202</v>
      </c>
    </row>
    <row r="899" spans="1:21" ht="15">
      <c r="A899" s="20" t="s">
        <v>501</v>
      </c>
      <c r="B899" s="21">
        <f>+B897/(0.0821*723)^2</f>
        <v>7.77656227137921E-05</v>
      </c>
      <c r="I899" s="7" t="s">
        <v>28</v>
      </c>
      <c r="J899" s="35">
        <f>15*0.25/(0.0821*313)</f>
        <v>0.14592972802590154</v>
      </c>
      <c r="K899" s="35"/>
      <c r="L899" s="35">
        <f>-J899</f>
        <v>-0.14592972802590154</v>
      </c>
      <c r="M899" s="35"/>
      <c r="N899" s="35">
        <f>+J899+L899</f>
        <v>0</v>
      </c>
      <c r="Q899" s="42">
        <f>15*473/313</f>
        <v>22.66773162939297</v>
      </c>
      <c r="S899" s="42">
        <f>2*-393.5</f>
        <v>-787</v>
      </c>
      <c r="T899" s="20">
        <f>2*213.6</f>
        <v>427.2</v>
      </c>
      <c r="U899" s="96">
        <f>+S902-T903</f>
        <v>-483887.19999999995</v>
      </c>
    </row>
    <row r="900" spans="1:21" ht="15">
      <c r="A900" s="20" t="s">
        <v>502</v>
      </c>
      <c r="B900" s="21">
        <f>+B898/(0.0821*973)^2</f>
        <v>3.1654785476778278E-06</v>
      </c>
      <c r="I900" s="7" t="s">
        <v>65</v>
      </c>
      <c r="J900" s="35">
        <f>20*0.5/(0.0821*303)</f>
        <v>0.4019890417787211</v>
      </c>
      <c r="K900" s="35"/>
      <c r="L900" s="35">
        <f>-2*J899</f>
        <v>-0.2918594560518031</v>
      </c>
      <c r="M900" s="35"/>
      <c r="N900" s="35">
        <f>+J900+L900</f>
        <v>0.110129585726918</v>
      </c>
      <c r="O900" s="42">
        <f>+N900*0.0821*473/0.85</f>
        <v>5.031406166363676</v>
      </c>
      <c r="P900" s="42"/>
      <c r="Q900" s="42">
        <f>20*473/303</f>
        <v>31.221122112211223</v>
      </c>
      <c r="S900" s="42">
        <f>2*-110.5</f>
        <v>-221</v>
      </c>
      <c r="T900" s="20">
        <v>205</v>
      </c>
      <c r="U900" s="20">
        <f>+-U899/(8.31*473)</f>
        <v>123.10677932036339</v>
      </c>
    </row>
    <row r="901" spans="9:20" ht="15">
      <c r="I901" s="7" t="s">
        <v>64</v>
      </c>
      <c r="J901" s="35">
        <f>SUM(J899:J900)</f>
        <v>0.5479187698046226</v>
      </c>
      <c r="K901" s="35"/>
      <c r="L901" s="42"/>
      <c r="M901" s="42"/>
      <c r="N901" s="35">
        <f>2*J899</f>
        <v>0.2918594560518031</v>
      </c>
      <c r="O901" s="42">
        <f>+N901*0.0821*473/0.85</f>
        <v>13.333959781995866</v>
      </c>
      <c r="P901" s="42"/>
      <c r="S901" s="42">
        <f>+S899-S900</f>
        <v>-566</v>
      </c>
      <c r="T901" s="20">
        <f>2*197.9</f>
        <v>395.8</v>
      </c>
    </row>
    <row r="902" spans="9:20" ht="15">
      <c r="I902" s="7"/>
      <c r="N902" s="35">
        <f>SUM(N899:N901)</f>
        <v>0.4019890417787211</v>
      </c>
      <c r="O902" s="42">
        <f>+N902*0.0821*473/0.85</f>
        <v>18.365365948359543</v>
      </c>
      <c r="P902" s="42"/>
      <c r="S902" s="96">
        <f>+S901*1000</f>
        <v>-566000</v>
      </c>
      <c r="T902" s="38">
        <f>+T899-T900-T901</f>
        <v>-173.60000000000002</v>
      </c>
    </row>
    <row r="903" spans="1:20" ht="15">
      <c r="A903" s="119" t="s">
        <v>462</v>
      </c>
      <c r="B903" s="44">
        <f>1-0.5*A907</f>
        <v>0.42883499999999997</v>
      </c>
      <c r="C903" s="42">
        <f>B903^2</f>
        <v>0.18389945722499998</v>
      </c>
      <c r="D903" s="32"/>
      <c r="E903" s="42">
        <f>+B903</f>
        <v>0.42883499999999997</v>
      </c>
      <c r="F903" s="42">
        <f>E903^2</f>
        <v>0.18389945722499998</v>
      </c>
      <c r="G903" s="42">
        <f>+E903-0.5*G907</f>
        <v>0.469985</v>
      </c>
      <c r="H903" s="35">
        <f>G903^2</f>
        <v>0.220885900225</v>
      </c>
      <c r="S903" s="35"/>
      <c r="T903" s="96">
        <f>473*T902</f>
        <v>-82112.80000000002</v>
      </c>
    </row>
    <row r="904" spans="1:8" ht="15">
      <c r="A904" s="119" t="s">
        <v>27</v>
      </c>
      <c r="B904" s="44">
        <f>A907</f>
        <v>1.14233</v>
      </c>
      <c r="C904" s="42">
        <f>+B904</f>
        <v>1.14233</v>
      </c>
      <c r="D904" s="32"/>
      <c r="E904" s="42">
        <f>+B904+1</f>
        <v>2.1423300000000003</v>
      </c>
      <c r="F904" s="42">
        <f>+E904</f>
        <v>2.1423300000000003</v>
      </c>
      <c r="G904" s="42">
        <f>+E904+G907</f>
        <v>2.0600300000000002</v>
      </c>
      <c r="H904" s="35">
        <f>+G904</f>
        <v>2.0600300000000002</v>
      </c>
    </row>
    <row r="905" spans="1:8" ht="15">
      <c r="A905" s="119" t="s">
        <v>463</v>
      </c>
      <c r="B905" s="44">
        <f>3*A907</f>
        <v>3.42699</v>
      </c>
      <c r="C905" s="42">
        <f>+B905^3</f>
        <v>40.2474631541581</v>
      </c>
      <c r="D905" s="32"/>
      <c r="E905" s="42">
        <f>+B905</f>
        <v>3.42699</v>
      </c>
      <c r="F905" s="42">
        <f>+E905^3</f>
        <v>40.2474631541581</v>
      </c>
      <c r="G905" s="42">
        <f>+E905+3*G907</f>
        <v>3.18009</v>
      </c>
      <c r="H905" s="42">
        <f>+G905^3</f>
        <v>32.16016242527473</v>
      </c>
    </row>
    <row r="906" spans="3:14" ht="15">
      <c r="C906" s="161">
        <f>+C905*C904/C903</f>
        <v>250.00554802420203</v>
      </c>
      <c r="D906" s="212"/>
      <c r="E906" s="161"/>
      <c r="F906" s="161">
        <f>+F905*F904/F903</f>
        <v>468.8613497839405</v>
      </c>
      <c r="H906" s="161">
        <f>+H905*H904/H903</f>
        <v>299.9326771579981</v>
      </c>
      <c r="J906" s="97">
        <f>+SQRT(0.00000000018)</f>
        <v>1.3416407864998738E-05</v>
      </c>
      <c r="K906" s="97"/>
      <c r="N906" s="20">
        <f>0.0005*4</f>
        <v>0.002</v>
      </c>
    </row>
    <row r="907" spans="1:14" ht="15">
      <c r="A907" s="214">
        <v>1.14233</v>
      </c>
      <c r="C907" s="212" t="s">
        <v>29</v>
      </c>
      <c r="D907" s="212"/>
      <c r="F907" s="212" t="s">
        <v>196</v>
      </c>
      <c r="G907" s="32">
        <v>-0.0823</v>
      </c>
      <c r="H907" s="35"/>
      <c r="J907" s="97">
        <f>+(0.000017/4)^(0.333333333333333)</f>
        <v>0.016198059006387423</v>
      </c>
      <c r="K907" s="97"/>
      <c r="N907" s="20">
        <f>+SQRT(0.000017/N906)</f>
        <v>0.09219544457292887</v>
      </c>
    </row>
    <row r="908" spans="7:14" ht="15">
      <c r="G908" s="212" t="s">
        <v>11</v>
      </c>
      <c r="H908" s="212"/>
      <c r="J908" s="21"/>
      <c r="K908" s="21"/>
      <c r="N908" s="97">
        <f>0.0005+N907</f>
        <v>0.09269544457292887</v>
      </c>
    </row>
    <row r="909" spans="9:11" ht="15">
      <c r="I909" s="15"/>
      <c r="J909" s="21">
        <f>+SQRT(0.017)</f>
        <v>0.130384048104053</v>
      </c>
      <c r="K909" s="21"/>
    </row>
    <row r="910" spans="1:19" ht="15">
      <c r="A910" s="119" t="s">
        <v>85</v>
      </c>
      <c r="B910" s="54">
        <v>0.405</v>
      </c>
      <c r="C910" s="35">
        <f>B910</f>
        <v>0.405</v>
      </c>
      <c r="D910" s="32"/>
      <c r="E910" s="35">
        <f>+B910</f>
        <v>0.405</v>
      </c>
      <c r="F910" s="35">
        <f>E910^2</f>
        <v>0.16402500000000003</v>
      </c>
      <c r="G910" s="35">
        <f>+E910-0.5*G914</f>
        <v>0.63575</v>
      </c>
      <c r="H910" s="35">
        <f>G910</f>
        <v>0.63575</v>
      </c>
      <c r="I910" s="15"/>
      <c r="J910" s="21"/>
      <c r="K910" s="21"/>
      <c r="N910" s="42"/>
      <c r="Q910" s="20">
        <f>0.016^2</f>
        <v>0.000256</v>
      </c>
      <c r="S910" s="20">
        <f>0.002^3</f>
        <v>8E-09</v>
      </c>
    </row>
    <row r="911" spans="1:17" ht="15">
      <c r="A911" s="119" t="s">
        <v>464</v>
      </c>
      <c r="B911" s="44">
        <v>2.13</v>
      </c>
      <c r="C911" s="42">
        <f>+B911^2</f>
        <v>4.536899999999999</v>
      </c>
      <c r="D911" s="32"/>
      <c r="E911" s="42">
        <f>+B911+1</f>
        <v>3.13</v>
      </c>
      <c r="F911" s="42">
        <f>+E911</f>
        <v>3.13</v>
      </c>
      <c r="G911" s="42">
        <f>+E911+G914</f>
        <v>2.6685</v>
      </c>
      <c r="H911" s="35">
        <f>+G911^2</f>
        <v>7.120892249999999</v>
      </c>
      <c r="I911" s="15" t="s">
        <v>0</v>
      </c>
      <c r="J911" s="35">
        <f>Q915</f>
        <v>0.002</v>
      </c>
      <c r="K911" s="35"/>
      <c r="Q911" s="20">
        <f>0.016*4</f>
        <v>0.064</v>
      </c>
    </row>
    <row r="912" spans="1:17" ht="15">
      <c r="A912" s="119"/>
      <c r="B912" s="44"/>
      <c r="C912" s="42"/>
      <c r="D912" s="32"/>
      <c r="E912" s="42"/>
      <c r="F912" s="42"/>
      <c r="G912" s="42"/>
      <c r="H912" s="42"/>
      <c r="I912" s="15" t="s">
        <v>2</v>
      </c>
      <c r="J912" s="57">
        <f>Q914</f>
        <v>3.2E-05</v>
      </c>
      <c r="K912" s="57"/>
      <c r="Q912" s="20">
        <f>0.016*4</f>
        <v>0.064</v>
      </c>
    </row>
    <row r="913" spans="3:17" ht="15">
      <c r="C913" s="213">
        <f>+C911/C910</f>
        <v>11.20222222222222</v>
      </c>
      <c r="D913" s="213">
        <f>+C913*0.082*298</f>
        <v>273.7375022222222</v>
      </c>
      <c r="E913" s="161"/>
      <c r="F913" s="213">
        <f>+F911/F910</f>
        <v>19.082456942539242</v>
      </c>
      <c r="H913" s="213">
        <f>+H911/H910</f>
        <v>11.200774282343685</v>
      </c>
      <c r="I913" s="15" t="s">
        <v>4</v>
      </c>
      <c r="J913" s="57">
        <f>+Q913-0.000017</f>
        <v>-1.6872E-05</v>
      </c>
      <c r="K913" s="57"/>
      <c r="Q913" s="20">
        <f>0.0005*Q910</f>
        <v>1.28E-07</v>
      </c>
    </row>
    <row r="914" spans="1:17" ht="15">
      <c r="A914" s="214"/>
      <c r="C914" s="213" t="s">
        <v>29</v>
      </c>
      <c r="D914" s="213"/>
      <c r="F914" s="213" t="s">
        <v>196</v>
      </c>
      <c r="G914" s="35">
        <v>-0.4615</v>
      </c>
      <c r="H914" s="35"/>
      <c r="I914" s="15" t="s">
        <v>7</v>
      </c>
      <c r="J914" s="21">
        <f>+(J912^2)-4*J911*J913</f>
        <v>1.36E-07</v>
      </c>
      <c r="K914" s="21"/>
      <c r="Q914" s="20">
        <f>+Q911*0.0005</f>
        <v>3.2E-05</v>
      </c>
    </row>
    <row r="915" spans="7:17" ht="15">
      <c r="G915" s="213" t="s">
        <v>11</v>
      </c>
      <c r="H915" s="213"/>
      <c r="I915" s="15" t="s">
        <v>6</v>
      </c>
      <c r="J915" s="21">
        <f>+SQRT(J914)</f>
        <v>0.0003687817782917155</v>
      </c>
      <c r="K915" s="21"/>
      <c r="Q915" s="20">
        <f>0.0005*4</f>
        <v>0.002</v>
      </c>
    </row>
    <row r="916" spans="9:14" ht="15">
      <c r="I916" s="30" t="s">
        <v>8</v>
      </c>
      <c r="J916" s="50">
        <f>+(-J912+J915)/(2*J911)</f>
        <v>0.08419544457292888</v>
      </c>
      <c r="K916" s="50"/>
      <c r="L916" s="21">
        <v>0.0005</v>
      </c>
      <c r="M916" s="21"/>
      <c r="N916" s="57">
        <f>+J916+L916</f>
        <v>0.08469544457292888</v>
      </c>
    </row>
    <row r="917" spans="2:11" ht="15">
      <c r="B917" s="20">
        <f>+C913*B910</f>
        <v>4.536899999999999</v>
      </c>
      <c r="C917" s="20">
        <f>+E911^2</f>
        <v>9.796899999999999</v>
      </c>
      <c r="E917" s="35">
        <v>1</v>
      </c>
      <c r="F917" s="21">
        <f>+E910-0.5*E922</f>
        <v>0.635707921404985</v>
      </c>
      <c r="I917" s="30" t="s">
        <v>9</v>
      </c>
      <c r="J917" s="21">
        <f>+(-J912-J915)/(2*J911)</f>
        <v>-0.10019544457292888</v>
      </c>
      <c r="K917" s="21"/>
    </row>
    <row r="918" spans="2:6" ht="15">
      <c r="B918" s="42">
        <f>+C913*0.5</f>
        <v>5.60111111111111</v>
      </c>
      <c r="C918" s="20">
        <f>+E911*2</f>
        <v>6.26</v>
      </c>
      <c r="E918" s="57">
        <f>C919</f>
        <v>11.86111111111111</v>
      </c>
      <c r="F918" s="21">
        <f>+E911+E922</f>
        <v>2.66858415719003</v>
      </c>
    </row>
    <row r="919" spans="3:5" ht="15">
      <c r="C919" s="42">
        <f>+C918+B918</f>
        <v>11.86111111111111</v>
      </c>
      <c r="E919" s="57">
        <f>C920</f>
        <v>5.26</v>
      </c>
    </row>
    <row r="920" spans="3:14" ht="15">
      <c r="C920" s="20">
        <f>+C917-B917</f>
        <v>5.26</v>
      </c>
      <c r="E920" s="21">
        <f>+(E918^2)-4*E917*E919</f>
        <v>119.64595679012345</v>
      </c>
      <c r="I920" s="20" t="s">
        <v>158</v>
      </c>
      <c r="J920" s="35">
        <f>11.4/79.55</f>
        <v>0.1433060967944689</v>
      </c>
      <c r="K920" s="35"/>
      <c r="L920" s="32">
        <f>+J920/6</f>
        <v>0.023884349465744817</v>
      </c>
      <c r="M920" s="32"/>
      <c r="N920" s="32">
        <f>+L920*2</f>
        <v>0.047768698931489634</v>
      </c>
    </row>
    <row r="921" spans="5:14" ht="15">
      <c r="E921" s="21">
        <f>+SQRT(E920)</f>
        <v>10.93827942549117</v>
      </c>
      <c r="I921" s="20" t="s">
        <v>87</v>
      </c>
      <c r="J921" s="35">
        <f>4/(0.0821*273)</f>
        <v>0.1784654647017619</v>
      </c>
      <c r="K921" s="35"/>
      <c r="L921" s="32">
        <f>+J921/2</f>
        <v>0.08923273235088094</v>
      </c>
      <c r="M921" s="32"/>
      <c r="N921" s="35">
        <f>+J921-N920</f>
        <v>0.13069676577027226</v>
      </c>
    </row>
    <row r="922" ht="15">
      <c r="E922" s="50">
        <f>+(-E918+E921)/(2*E917)</f>
        <v>-0.46141584280996994</v>
      </c>
    </row>
    <row r="923" spans="5:13" ht="15">
      <c r="E923" s="21">
        <f>+(-E918-E921)/(2*E917)</f>
        <v>-11.39969526830114</v>
      </c>
      <c r="I923" s="20" t="s">
        <v>159</v>
      </c>
      <c r="J923" s="42">
        <f>8.5*0.35</f>
        <v>2.9749999999999996</v>
      </c>
      <c r="K923" s="42"/>
      <c r="L923" s="58">
        <f>+J923*14</f>
        <v>41.64999999999999</v>
      </c>
      <c r="M923" s="58"/>
    </row>
    <row r="924" spans="9:11" ht="15">
      <c r="I924" s="20" t="s">
        <v>160</v>
      </c>
      <c r="J924" s="42">
        <f>12*0.2</f>
        <v>2.4000000000000004</v>
      </c>
      <c r="K924" s="42"/>
    </row>
    <row r="925" spans="9:13" ht="15">
      <c r="I925" s="20" t="s">
        <v>54</v>
      </c>
      <c r="J925" s="35">
        <f>+J924*3/14</f>
        <v>0.5142857142857143</v>
      </c>
      <c r="K925" s="35"/>
      <c r="L925" s="35">
        <f>+J925*0.0821*303.15/25</f>
        <v>0.5119943657142858</v>
      </c>
      <c r="M925" s="35"/>
    </row>
    <row r="926" spans="1:2" ht="15">
      <c r="A926" s="21">
        <v>1.8E-05</v>
      </c>
      <c r="B926" s="21">
        <f>+A926*0.006</f>
        <v>1.08E-07</v>
      </c>
    </row>
    <row r="927" spans="1:14" ht="15">
      <c r="A927" s="20">
        <f>-LOG10(A926)</f>
        <v>4.7447274948966935</v>
      </c>
      <c r="B927" s="21">
        <f>+A929+B926</f>
        <v>2.8636077464300076E-05</v>
      </c>
      <c r="I927" s="7" t="s">
        <v>161</v>
      </c>
      <c r="J927" s="7" t="s">
        <v>162</v>
      </c>
      <c r="K927" s="7"/>
      <c r="L927" s="7" t="s">
        <v>64</v>
      </c>
      <c r="M927" s="7"/>
      <c r="N927" s="7" t="s">
        <v>163</v>
      </c>
    </row>
    <row r="928" spans="1:14" ht="15">
      <c r="A928" s="20">
        <f>+A927-0.2</f>
        <v>4.544727494896693</v>
      </c>
      <c r="B928" s="21">
        <f>+B927/A926</f>
        <v>1.5908931924611152</v>
      </c>
      <c r="I928" s="20">
        <v>87.9</v>
      </c>
      <c r="L928" s="20">
        <v>-393.5</v>
      </c>
      <c r="N928" s="20">
        <v>-296.9</v>
      </c>
    </row>
    <row r="929" spans="1:19" ht="15">
      <c r="A929" s="20">
        <f>10^-A928</f>
        <v>2.8528077464300076E-05</v>
      </c>
      <c r="B929" s="20">
        <f>+B928/2</f>
        <v>0.7954465962305576</v>
      </c>
      <c r="I929" s="60">
        <f>+I928*0.239</f>
        <v>21.0081</v>
      </c>
      <c r="J929" s="60"/>
      <c r="K929" s="60"/>
      <c r="L929" s="60">
        <f>+L928*0.239</f>
        <v>-94.0465</v>
      </c>
      <c r="M929" s="60"/>
      <c r="N929" s="60">
        <f>+N928*0.239</f>
        <v>-70.95909999999999</v>
      </c>
      <c r="O929" s="60">
        <f>+(2*N929+L929)-I929</f>
        <v>-256.9728</v>
      </c>
      <c r="P929" s="60"/>
      <c r="Q929" s="58">
        <f>+O929*N931</f>
        <v>-33.81221052631579</v>
      </c>
      <c r="S929" s="20">
        <f>+N929*N930</f>
        <v>-18.673447368421048</v>
      </c>
    </row>
    <row r="930" ht="15">
      <c r="N930" s="31">
        <f>+N938/64</f>
        <v>0.2631578947368421</v>
      </c>
    </row>
    <row r="931" ht="15">
      <c r="N931" s="31">
        <f>+N930/2</f>
        <v>0.13157894736842105</v>
      </c>
    </row>
    <row r="932" spans="9:17" ht="15">
      <c r="I932" s="20">
        <v>21</v>
      </c>
      <c r="L932" s="20">
        <v>-94</v>
      </c>
      <c r="N932" s="60">
        <f>+(O932+I932-L932)/2</f>
        <v>-70.94</v>
      </c>
      <c r="O932" s="42">
        <f>+Q932/N931</f>
        <v>-256.88</v>
      </c>
      <c r="P932" s="42"/>
      <c r="Q932" s="20">
        <v>-33.8</v>
      </c>
    </row>
    <row r="933" spans="1:14" ht="15">
      <c r="A933" s="20">
        <f>100/170.92</f>
        <v>0.5850690381465014</v>
      </c>
      <c r="I933" s="42"/>
      <c r="L933" s="42"/>
      <c r="M933" s="42"/>
      <c r="N933" s="58"/>
    </row>
    <row r="934" spans="1:17" ht="15">
      <c r="A934" s="20">
        <f>78/149</f>
        <v>0.5234899328859061</v>
      </c>
      <c r="I934" s="20">
        <v>21</v>
      </c>
      <c r="L934" s="20">
        <v>-94</v>
      </c>
      <c r="N934" s="60">
        <v>-70.94</v>
      </c>
      <c r="O934" s="60">
        <f>+(2*N934+L934)-I934</f>
        <v>-256.88</v>
      </c>
      <c r="P934" s="60"/>
      <c r="Q934" s="58">
        <f>+O934*N931</f>
        <v>-33.8</v>
      </c>
    </row>
    <row r="935" ht="15">
      <c r="A935" s="20">
        <f>1-A934</f>
        <v>0.47651006711409394</v>
      </c>
    </row>
    <row r="936" spans="1:14" ht="15">
      <c r="A936" s="20">
        <f>+A933*A935</f>
        <v>0.2787912866335677</v>
      </c>
      <c r="I936" s="7" t="s">
        <v>161</v>
      </c>
      <c r="J936" s="7" t="s">
        <v>162</v>
      </c>
      <c r="K936" s="7"/>
      <c r="L936" s="7" t="s">
        <v>64</v>
      </c>
      <c r="M936" s="7"/>
      <c r="N936" s="7" t="s">
        <v>163</v>
      </c>
    </row>
    <row r="937" spans="1:14" ht="15">
      <c r="A937" s="20">
        <f>+A933-A936</f>
        <v>0.3062777515129336</v>
      </c>
      <c r="I937" s="31">
        <f>10/76</f>
        <v>0.13157894736842105</v>
      </c>
      <c r="N937" s="31">
        <f>+I937*2</f>
        <v>0.2631578947368421</v>
      </c>
    </row>
    <row r="938" spans="1:14" ht="15">
      <c r="A938" s="20">
        <f>+A937/A935</f>
        <v>0.6427519010623537</v>
      </c>
      <c r="N938" s="35">
        <f>+N937*64</f>
        <v>16.842105263157894</v>
      </c>
    </row>
    <row r="939" spans="1:17" ht="15">
      <c r="A939" s="20">
        <f>+A938*99.06</f>
        <v>63.67100331923676</v>
      </c>
      <c r="L939" s="20">
        <v>-94</v>
      </c>
      <c r="N939" s="20">
        <v>-71</v>
      </c>
      <c r="O939" s="60">
        <f>+Q939/I937</f>
        <v>-256.88</v>
      </c>
      <c r="P939" s="60"/>
      <c r="Q939" s="20">
        <v>-33.8</v>
      </c>
    </row>
    <row r="940" spans="4:14" ht="15">
      <c r="D940" s="21"/>
      <c r="N940" s="20">
        <f>2*N939</f>
        <v>-142</v>
      </c>
    </row>
    <row r="941" ht="15">
      <c r="N941" s="20">
        <f>+N940+L939</f>
        <v>-236</v>
      </c>
    </row>
    <row r="942" ht="15">
      <c r="I942" s="60">
        <f>-O939+N941</f>
        <v>20.879999999999995</v>
      </c>
    </row>
    <row r="943" ht="15.75" thickBot="1"/>
    <row r="944" spans="1:14" ht="15">
      <c r="A944" s="316" t="s">
        <v>474</v>
      </c>
      <c r="B944" s="317"/>
      <c r="C944" s="317"/>
      <c r="D944" s="317"/>
      <c r="E944" s="317"/>
      <c r="F944" s="317"/>
      <c r="G944" s="317"/>
      <c r="H944" s="318"/>
      <c r="I944" s="7" t="s">
        <v>164</v>
      </c>
      <c r="J944" s="7" t="s">
        <v>165</v>
      </c>
      <c r="K944" s="7"/>
      <c r="L944" s="7" t="s">
        <v>166</v>
      </c>
      <c r="M944" s="7"/>
      <c r="N944" s="7" t="s">
        <v>167</v>
      </c>
    </row>
    <row r="945" spans="1:16" ht="15">
      <c r="A945" s="221">
        <f>0.1325*0.112</f>
        <v>0.01484</v>
      </c>
      <c r="B945" s="20">
        <v>7.21</v>
      </c>
      <c r="C945" s="21">
        <f>+B947*10</f>
        <v>7.126378370423962E-06</v>
      </c>
      <c r="E945" s="21"/>
      <c r="G945" s="21">
        <f>+A950+C950</f>
        <v>0.1289168321047954</v>
      </c>
      <c r="H945" s="219"/>
      <c r="I945" s="8">
        <v>49</v>
      </c>
      <c r="J945" s="8"/>
      <c r="K945" s="150"/>
      <c r="L945" s="8">
        <v>-393.5</v>
      </c>
      <c r="M945" s="8"/>
      <c r="N945" s="8">
        <v>-285.85</v>
      </c>
      <c r="O945" s="16">
        <f>+(6*N945+12*L945)-(2*I945)</f>
        <v>-6535.1</v>
      </c>
      <c r="P945" s="16"/>
    </row>
    <row r="946" spans="1:15" ht="15">
      <c r="A946" s="221">
        <f>0.128*0.136</f>
        <v>0.017408000000000003</v>
      </c>
      <c r="B946" s="21">
        <f>10^-B945</f>
        <v>6.165950018614809E-08</v>
      </c>
      <c r="C946" s="21">
        <f>+B946*A950</f>
        <v>7.379249860987401E-09</v>
      </c>
      <c r="G946" s="21">
        <f>+A951-C950</f>
        <v>0.0011154259597207367</v>
      </c>
      <c r="H946" s="219"/>
      <c r="O946" s="20">
        <f>+O945/2</f>
        <v>-3267.55</v>
      </c>
    </row>
    <row r="947" spans="1:8" ht="15">
      <c r="A947" s="221">
        <f>+A946-A945</f>
        <v>0.0025680000000000026</v>
      </c>
      <c r="B947" s="21">
        <f>+B946*2*A945/A947</f>
        <v>7.126378370423962E-07</v>
      </c>
      <c r="C947" s="21">
        <f>+C945*A951</f>
        <v>7.3792498609874E-08</v>
      </c>
      <c r="E947" s="21">
        <f>+(0.00000000000001/B947)+B947+(A952*B946*B947)</f>
        <v>7.266702158357043E-07</v>
      </c>
      <c r="F947" s="21"/>
      <c r="G947" s="21">
        <f>+B946*G945/G946</f>
        <v>7.126378370423968E-06</v>
      </c>
      <c r="H947" s="219"/>
    </row>
    <row r="948" spans="1:8" ht="15">
      <c r="A948" s="221">
        <f>+A945*2</f>
        <v>0.02968</v>
      </c>
      <c r="B948" s="44">
        <f>-LOG10(B947)</f>
        <v>6.147131122789827</v>
      </c>
      <c r="C948" s="21">
        <f>+B946+C945</f>
        <v>7.18803787061011E-06</v>
      </c>
      <c r="E948" s="21">
        <f>+(B946+B947)^2</f>
        <v>5.995363664392141E-13</v>
      </c>
      <c r="F948" s="21"/>
      <c r="G948" s="44">
        <f>-LOG10(G947)</f>
        <v>5.147131122789827</v>
      </c>
      <c r="H948" s="219"/>
    </row>
    <row r="949" spans="1:17" ht="15">
      <c r="A949" s="221"/>
      <c r="C949" s="21">
        <f>+C947-C946</f>
        <v>6.64132487488866E-08</v>
      </c>
      <c r="E949" s="21">
        <f>2.303*E947</f>
        <v>1.673521507069627E-06</v>
      </c>
      <c r="H949" s="219"/>
      <c r="I949" s="68" t="s">
        <v>168</v>
      </c>
      <c r="J949" s="58">
        <v>30</v>
      </c>
      <c r="K949" s="58"/>
      <c r="L949" s="20">
        <v>0.121</v>
      </c>
      <c r="N949" s="21">
        <f>+L949*J949/1000</f>
        <v>0.00363</v>
      </c>
      <c r="Q949" s="21">
        <f>+N950-N951</f>
        <v>0.0018425999999999998</v>
      </c>
    </row>
    <row r="950" spans="1:17" ht="15">
      <c r="A950" s="222">
        <f>+A948/0.248</f>
        <v>0.11967741935483872</v>
      </c>
      <c r="B950" s="20" t="s">
        <v>469</v>
      </c>
      <c r="C950" s="21">
        <f>+C949/C948</f>
        <v>0.009239412749956693</v>
      </c>
      <c r="E950" s="21">
        <f>+E949/E948</f>
        <v>2791359.458324539</v>
      </c>
      <c r="H950" s="219"/>
      <c r="I950" s="68" t="s">
        <v>169</v>
      </c>
      <c r="J950" s="58">
        <v>40</v>
      </c>
      <c r="K950" s="58"/>
      <c r="L950" s="32">
        <v>0.1</v>
      </c>
      <c r="M950" s="32"/>
      <c r="N950" s="21">
        <f>+L950*J950/1000</f>
        <v>0.004</v>
      </c>
      <c r="Q950" s="21">
        <f>+N949-Q949</f>
        <v>0.0017874000000000002</v>
      </c>
    </row>
    <row r="951" spans="1:17" ht="15">
      <c r="A951" s="222">
        <f>+A947/0.248</f>
        <v>0.01035483870967743</v>
      </c>
      <c r="B951" s="20" t="s">
        <v>470</v>
      </c>
      <c r="H951" s="219"/>
      <c r="I951" s="68" t="s">
        <v>170</v>
      </c>
      <c r="J951" s="20">
        <v>16.1</v>
      </c>
      <c r="L951" s="20">
        <v>0.134</v>
      </c>
      <c r="N951" s="21">
        <f>+L951*J951/1000</f>
        <v>0.0021574000000000003</v>
      </c>
      <c r="Q951" s="21">
        <f>+Q950*L952/N952</f>
        <v>0.035748</v>
      </c>
    </row>
    <row r="952" spans="1:17" ht="15">
      <c r="A952" s="221">
        <f>+A950+A951</f>
        <v>0.13003225806451615</v>
      </c>
      <c r="E952" s="44">
        <v>2.23</v>
      </c>
      <c r="F952" s="21">
        <f>10^-E952</f>
        <v>0.00588843655355589</v>
      </c>
      <c r="H952" s="219"/>
      <c r="I952" s="68" t="s">
        <v>171</v>
      </c>
      <c r="J952" s="42">
        <v>5</v>
      </c>
      <c r="K952" s="42"/>
      <c r="L952" s="42">
        <v>500</v>
      </c>
      <c r="M952" s="42"/>
      <c r="N952" s="58">
        <v>25</v>
      </c>
      <c r="Q952" s="42">
        <f>+Q951*J953</f>
        <v>1.073369448</v>
      </c>
    </row>
    <row r="953" spans="1:17" ht="15">
      <c r="A953" s="221">
        <f>+A950/A951</f>
        <v>11.557632398753883</v>
      </c>
      <c r="B953" s="35">
        <f>-LOG10(A950)</f>
        <v>0.9219877842192268</v>
      </c>
      <c r="C953" s="203">
        <f>+B954-B953</f>
        <v>1.0628688772101733</v>
      </c>
      <c r="E953" s="44">
        <v>7.21</v>
      </c>
      <c r="F953" s="21">
        <f>10^-E953</f>
        <v>6.165950018614809E-08</v>
      </c>
      <c r="H953" s="219"/>
      <c r="I953" s="68" t="s">
        <v>172</v>
      </c>
      <c r="J953" s="42">
        <f>12.011+2.016+15.999</f>
        <v>30.026</v>
      </c>
      <c r="K953" s="42"/>
      <c r="Q953" s="37">
        <f>+Q952/J952*100</f>
        <v>21.46738896</v>
      </c>
    </row>
    <row r="954" spans="1:8" ht="15.75" thickBot="1">
      <c r="A954" s="228"/>
      <c r="B954" s="234">
        <f>-LOG10(A951)</f>
        <v>1.9848566614294</v>
      </c>
      <c r="C954" s="224">
        <f>-LOG10(A951/A950)</f>
        <v>1.0628688772101733</v>
      </c>
      <c r="E954" s="44">
        <v>12.32</v>
      </c>
      <c r="F954" s="21">
        <f>10^-E954</f>
        <v>4.786300923226369E-13</v>
      </c>
      <c r="H954" s="219"/>
    </row>
    <row r="955" spans="1:13" ht="15">
      <c r="A955" s="21"/>
      <c r="D955" s="230"/>
      <c r="E955" s="203"/>
      <c r="F955" s="203"/>
      <c r="G955" s="109"/>
      <c r="H955" s="220" t="s">
        <v>35</v>
      </c>
      <c r="I955" s="68"/>
      <c r="J955" s="21"/>
      <c r="K955" s="21"/>
      <c r="L955" s="21"/>
      <c r="M955" s="21"/>
    </row>
    <row r="956" spans="1:8" ht="15">
      <c r="A956" s="21">
        <v>0.0001</v>
      </c>
      <c r="D956" s="230"/>
      <c r="E956" s="203">
        <f>+F952*F953*B947</f>
        <v>2.5874315962892517E-16</v>
      </c>
      <c r="F956" s="203"/>
      <c r="G956" s="225">
        <f>+E956/F957</f>
        <v>0.07962397220606017</v>
      </c>
      <c r="H956" s="220" t="s">
        <v>471</v>
      </c>
    </row>
    <row r="957" spans="1:14" ht="15">
      <c r="A957" s="21">
        <f>10^-4.27</f>
        <v>5.370317963702527E-05</v>
      </c>
      <c r="D957" s="230"/>
      <c r="E957" s="203">
        <f>+B947^3</f>
        <v>3.6191504024625056E-19</v>
      </c>
      <c r="F957" s="313">
        <f>+E957+E958+E959+E960</f>
        <v>3.2495635731324677E-15</v>
      </c>
      <c r="G957" s="225">
        <f>1-G956</f>
        <v>0.9203760277939398</v>
      </c>
      <c r="H957" s="220" t="s">
        <v>472</v>
      </c>
      <c r="I957" s="68" t="s">
        <v>173</v>
      </c>
      <c r="J957" s="58">
        <v>10</v>
      </c>
      <c r="K957" s="58"/>
      <c r="L957" s="32">
        <v>0.1</v>
      </c>
      <c r="M957" s="32"/>
      <c r="N957" s="21">
        <f>+J957*L957/1000</f>
        <v>0.001</v>
      </c>
    </row>
    <row r="958" spans="1:14" ht="15">
      <c r="A958" s="21">
        <f>+A956/A957</f>
        <v>1.8620871366628677</v>
      </c>
      <c r="D958" s="230"/>
      <c r="E958" s="203">
        <f>+B947^2*F952</f>
        <v>2.990458324683213E-15</v>
      </c>
      <c r="F958" s="313"/>
      <c r="G958" s="203"/>
      <c r="H958" s="219"/>
      <c r="I958" s="68" t="s">
        <v>175</v>
      </c>
      <c r="N958" s="21">
        <f>+N957/2</f>
        <v>0.0005</v>
      </c>
    </row>
    <row r="959" spans="1:14" ht="15">
      <c r="A959" s="21">
        <f>+A958+1</f>
        <v>2.8620871366628675</v>
      </c>
      <c r="D959" s="230"/>
      <c r="E959" s="203">
        <f>+B947*F952*F953</f>
        <v>2.5874315962892517E-16</v>
      </c>
      <c r="F959" s="313"/>
      <c r="G959" s="225" t="s">
        <v>473</v>
      </c>
      <c r="H959" s="219"/>
      <c r="I959" s="68" t="s">
        <v>174</v>
      </c>
      <c r="J959" s="58">
        <v>50</v>
      </c>
      <c r="K959" s="58"/>
      <c r="L959" s="31">
        <f>0.1/6</f>
        <v>0.016666666666666666</v>
      </c>
      <c r="M959" s="31"/>
      <c r="N959" s="21">
        <f>+J959*L959/1000</f>
        <v>0.0008333333333333334</v>
      </c>
    </row>
    <row r="960" spans="1:14" ht="15">
      <c r="A960" s="21">
        <f>0.01/A959</f>
        <v>0.0034939537206612747</v>
      </c>
      <c r="D960" s="230"/>
      <c r="E960" s="203">
        <f>+F952*F953*F954</f>
        <v>1.7378008287493663E-22</v>
      </c>
      <c r="F960" s="313"/>
      <c r="G960" s="112">
        <v>2.303</v>
      </c>
      <c r="H960" s="219"/>
      <c r="I960" s="68" t="s">
        <v>176</v>
      </c>
      <c r="N960" s="21">
        <f>+N959*3</f>
        <v>0.0025</v>
      </c>
    </row>
    <row r="961" spans="1:14" ht="15">
      <c r="A961" s="21">
        <f>+A960+0.01</f>
        <v>0.013493953720661275</v>
      </c>
      <c r="D961" s="230"/>
      <c r="E961" s="203"/>
      <c r="F961" s="109"/>
      <c r="G961" s="225">
        <f>+G956*G957*A952</f>
        <v>0.00952928338315151</v>
      </c>
      <c r="H961" s="219"/>
      <c r="I961" s="68" t="s">
        <v>177</v>
      </c>
      <c r="N961" s="21">
        <f>+N960-N958</f>
        <v>0.002</v>
      </c>
    </row>
    <row r="962" spans="4:18" ht="15">
      <c r="D962" s="230"/>
      <c r="E962" s="109"/>
      <c r="F962" s="109"/>
      <c r="G962" s="225">
        <f>+G960*G961</f>
        <v>0.021945939631397928</v>
      </c>
      <c r="H962" s="219"/>
      <c r="I962" s="68" t="s">
        <v>178</v>
      </c>
      <c r="L962" s="20">
        <v>94.1</v>
      </c>
      <c r="N962" s="21">
        <f>+N961/3</f>
        <v>0.0006666666666666666</v>
      </c>
      <c r="O962" s="21">
        <f>+N962*4</f>
        <v>0.0026666666666666666</v>
      </c>
      <c r="P962" s="21"/>
      <c r="Q962" s="35">
        <f>+O962*L962</f>
        <v>0.2509333333333333</v>
      </c>
      <c r="R962" s="58">
        <f>+Q962/0.3*100</f>
        <v>83.64444444444443</v>
      </c>
    </row>
    <row r="963" spans="4:8" ht="15.75" thickBot="1">
      <c r="D963" s="230"/>
      <c r="E963" s="203"/>
      <c r="F963" s="109"/>
      <c r="G963" s="109"/>
      <c r="H963" s="219"/>
    </row>
    <row r="964" spans="1:14" ht="15">
      <c r="A964" s="226">
        <v>1</v>
      </c>
      <c r="B964" s="218">
        <f>10^-1.96</f>
        <v>0.01096478196143185</v>
      </c>
      <c r="D964" s="230"/>
      <c r="E964" s="20">
        <v>2.303</v>
      </c>
      <c r="H964" s="219"/>
      <c r="I964" s="68" t="s">
        <v>173</v>
      </c>
      <c r="J964" s="58">
        <v>10</v>
      </c>
      <c r="K964" s="58"/>
      <c r="L964" s="32">
        <v>0.1</v>
      </c>
      <c r="M964" s="32"/>
      <c r="N964" s="21">
        <f>+J964*L964/1000</f>
        <v>0.001</v>
      </c>
    </row>
    <row r="965" spans="1:14" ht="15">
      <c r="A965" s="221">
        <f>+B964+0.2</f>
        <v>0.21096478196143187</v>
      </c>
      <c r="B965" s="219"/>
      <c r="D965" s="230"/>
      <c r="E965" s="63">
        <f>0.00000000000001/B947</f>
        <v>1.4032373079574612E-08</v>
      </c>
      <c r="H965" s="219"/>
      <c r="I965" s="68" t="s">
        <v>175</v>
      </c>
      <c r="N965" s="21"/>
    </row>
    <row r="966" spans="1:14" ht="15">
      <c r="A966" s="221">
        <f>-B964*0.2</f>
        <v>-0.0021929563922863703</v>
      </c>
      <c r="B966" s="219"/>
      <c r="D966" s="230"/>
      <c r="E966" s="63">
        <f>B947</f>
        <v>7.126378370423962E-07</v>
      </c>
      <c r="H966" s="219"/>
      <c r="I966" s="68" t="s">
        <v>174</v>
      </c>
      <c r="J966" s="58">
        <v>50</v>
      </c>
      <c r="K966" s="58"/>
      <c r="L966" s="31">
        <v>0.1</v>
      </c>
      <c r="M966" s="31"/>
      <c r="N966" s="21">
        <f>+J966*L966/1000</f>
        <v>0.005</v>
      </c>
    </row>
    <row r="967" spans="1:14" ht="15">
      <c r="A967" s="221">
        <f>+(A965^2)-4*A964*A966</f>
        <v>0.05327796479717997</v>
      </c>
      <c r="B967" s="219"/>
      <c r="D967" s="230"/>
      <c r="E967" s="21">
        <f>+A952*B946*B947</f>
        <v>5.71373351810665E-15</v>
      </c>
      <c r="H967" s="219"/>
      <c r="I967" s="68" t="s">
        <v>176</v>
      </c>
      <c r="N967" s="21"/>
    </row>
    <row r="968" spans="1:14" ht="15">
      <c r="A968" s="221">
        <f>+SQRT(A967)</f>
        <v>0.2308202001497702</v>
      </c>
      <c r="B968" s="219"/>
      <c r="D968" s="230"/>
      <c r="E968" s="21">
        <f>+(B946+B947)^2</f>
        <v>5.995363664392141E-13</v>
      </c>
      <c r="H968" s="219"/>
      <c r="I968" s="68" t="s">
        <v>177</v>
      </c>
      <c r="N968" s="21">
        <f>+N966-N964</f>
        <v>0.004</v>
      </c>
    </row>
    <row r="969" spans="1:18" ht="15">
      <c r="A969" s="222">
        <f>+(-A965+A968)/(2*A964)</f>
        <v>0.009927709094169165</v>
      </c>
      <c r="B969" s="227">
        <f>+A969+0.2</f>
        <v>0.2099277090941692</v>
      </c>
      <c r="C969" s="21"/>
      <c r="D969" s="230"/>
      <c r="E969" s="63">
        <f>+E967/E968</f>
        <v>0.009530253439072999</v>
      </c>
      <c r="H969" s="219"/>
      <c r="I969" s="68" t="s">
        <v>178</v>
      </c>
      <c r="L969" s="20">
        <f>94.1/6</f>
        <v>15.683333333333332</v>
      </c>
      <c r="N969" s="21">
        <f>+N968*4</f>
        <v>0.016</v>
      </c>
      <c r="O969" s="35">
        <f>+N969*L969</f>
        <v>0.25093333333333334</v>
      </c>
      <c r="P969" s="35"/>
      <c r="Q969" s="58">
        <f>+O969/0.3*100</f>
        <v>83.64444444444446</v>
      </c>
      <c r="R969" s="58"/>
    </row>
    <row r="970" spans="1:8" ht="15.75" thickBot="1">
      <c r="A970" s="228">
        <f>+(-A965-A968)/(2*A964)</f>
        <v>-0.22089249105560105</v>
      </c>
      <c r="B970" s="229"/>
      <c r="D970" s="230"/>
      <c r="E970" s="21">
        <f>+E965+E966+E969</f>
        <v>0.00953098010928312</v>
      </c>
      <c r="H970" s="219"/>
    </row>
    <row r="971" spans="4:20" ht="15.75" thickBot="1">
      <c r="D971" s="231"/>
      <c r="E971" s="232">
        <f>+E964*E970</f>
        <v>0.021949847191679025</v>
      </c>
      <c r="F971" s="233" t="s">
        <v>473</v>
      </c>
      <c r="G971" s="223"/>
      <c r="H971" s="229"/>
      <c r="J971" s="7" t="s">
        <v>101</v>
      </c>
      <c r="K971" s="7"/>
      <c r="L971" s="7" t="s">
        <v>102</v>
      </c>
      <c r="M971" s="7"/>
      <c r="N971" s="7" t="s">
        <v>183</v>
      </c>
      <c r="O971" s="7" t="s">
        <v>185</v>
      </c>
      <c r="P971" s="7"/>
      <c r="Q971" s="7" t="s">
        <v>101</v>
      </c>
      <c r="R971" s="7" t="s">
        <v>102</v>
      </c>
      <c r="S971" s="7" t="s">
        <v>185</v>
      </c>
      <c r="T971" s="7"/>
    </row>
    <row r="972" spans="9:20" ht="15">
      <c r="I972" s="68" t="s">
        <v>58</v>
      </c>
      <c r="J972" s="20">
        <v>1</v>
      </c>
      <c r="L972" s="42">
        <f>+J972-J985</f>
        <v>0.15002206397704565</v>
      </c>
      <c r="M972" s="42"/>
      <c r="N972" s="35">
        <f>+SUM(L972:L975)</f>
        <v>2</v>
      </c>
      <c r="O972" s="35">
        <f>+L972/$N$972</f>
        <v>0.07501103198852282</v>
      </c>
      <c r="P972" s="35"/>
      <c r="Q972" s="42">
        <f>+L972+1</f>
        <v>1.1500220639770458</v>
      </c>
      <c r="R972" s="42">
        <f>+Q972-$T$985</f>
        <v>1.0778775904725268</v>
      </c>
      <c r="S972" s="42">
        <f>+R972/$R$976</f>
        <v>0.21557551809450537</v>
      </c>
      <c r="T972" s="20">
        <f>+(S974*S975)/(S972*S973)</f>
        <v>32.100000000000016</v>
      </c>
    </row>
    <row r="973" spans="9:19" ht="15">
      <c r="I973" s="68" t="s">
        <v>59</v>
      </c>
      <c r="J973" s="20">
        <v>1</v>
      </c>
      <c r="L973" s="42">
        <f>+J973-J985</f>
        <v>0.15002206397704565</v>
      </c>
      <c r="M973" s="42"/>
      <c r="O973" s="35">
        <f>+L973/$N$972</f>
        <v>0.07501103198852282</v>
      </c>
      <c r="P973" s="35"/>
      <c r="Q973" s="42">
        <f>L973</f>
        <v>0.15002206397704565</v>
      </c>
      <c r="R973" s="35">
        <f>+Q973-$T$985</f>
        <v>0.07787759047252671</v>
      </c>
      <c r="S973" s="35">
        <f>+R973/$R$976</f>
        <v>0.015575518094505341</v>
      </c>
    </row>
    <row r="974" spans="1:19" ht="15">
      <c r="A974" s="20">
        <v>1.27</v>
      </c>
      <c r="B974" s="21">
        <f>10^-A974</f>
        <v>0.053703179637025256</v>
      </c>
      <c r="C974" s="21">
        <f>0.01*B974+B975^2+0.01*B974*B975</f>
        <v>0.0005370635207167869</v>
      </c>
      <c r="D974" s="50">
        <f>0.0001*C976/B975</f>
        <v>97197.4815478622</v>
      </c>
      <c r="E974" s="50">
        <f>0.00000000000001/0.0001</f>
        <v>9.999999999999999E-11</v>
      </c>
      <c r="F974" s="50">
        <v>0.0001</v>
      </c>
      <c r="I974" s="68" t="s">
        <v>60</v>
      </c>
      <c r="J974" s="20">
        <v>0</v>
      </c>
      <c r="L974" s="42">
        <f>J985</f>
        <v>0.8499779360229544</v>
      </c>
      <c r="M974" s="42"/>
      <c r="O974" s="35">
        <f>+L974/$N$972</f>
        <v>0.4249889680114772</v>
      </c>
      <c r="P974" s="35"/>
      <c r="Q974" s="42">
        <f>+L974+2</f>
        <v>2.8499779360229542</v>
      </c>
      <c r="R974" s="42">
        <f>+Q974+$T$985</f>
        <v>2.922122409527473</v>
      </c>
      <c r="S974" s="42">
        <f>+R974/$R$976</f>
        <v>0.5844244819054947</v>
      </c>
    </row>
    <row r="975" spans="1:19" ht="15">
      <c r="A975" s="20">
        <v>4.27</v>
      </c>
      <c r="B975" s="21">
        <f>10^-A975</f>
        <v>5.370317963702527E-05</v>
      </c>
      <c r="C975" s="21">
        <f>0.0001^2*B975+0.0001^2+0.0001*B974*B975</f>
        <v>1.028894018210903E-08</v>
      </c>
      <c r="I975" s="68" t="s">
        <v>62</v>
      </c>
      <c r="J975" s="20">
        <v>0</v>
      </c>
      <c r="L975" s="42">
        <f>J985</f>
        <v>0.8499779360229544</v>
      </c>
      <c r="M975" s="42"/>
      <c r="O975" s="35">
        <f>+L975/$N$972</f>
        <v>0.4249889680114772</v>
      </c>
      <c r="P975" s="35"/>
      <c r="Q975" s="42">
        <f>L975</f>
        <v>0.8499779360229544</v>
      </c>
      <c r="R975" s="42">
        <f>+Q975+$T$985</f>
        <v>0.9221224095274733</v>
      </c>
      <c r="S975" s="42">
        <f>+R975/$R$976</f>
        <v>0.18442448190549465</v>
      </c>
    </row>
    <row r="976" spans="3:19" ht="15">
      <c r="C976" s="21">
        <f>+C974/C975</f>
        <v>52198.13811831293</v>
      </c>
      <c r="I976" s="68" t="s">
        <v>33</v>
      </c>
      <c r="J976" s="58">
        <v>32.1</v>
      </c>
      <c r="K976" s="58"/>
      <c r="L976" s="42"/>
      <c r="M976" s="42"/>
      <c r="O976" s="42">
        <f>SUM(O972:O975)</f>
        <v>1</v>
      </c>
      <c r="P976" s="42"/>
      <c r="Q976" s="42">
        <f>SUM(Q972:Q975)</f>
        <v>5</v>
      </c>
      <c r="R976" s="42">
        <f>SUM(R972:R975)</f>
        <v>5</v>
      </c>
      <c r="S976" s="42">
        <f>SUM(S972:S975)</f>
        <v>1</v>
      </c>
    </row>
    <row r="977" spans="3:13" ht="15">
      <c r="C977" s="50">
        <f>+C976*2</f>
        <v>104396.27623662585</v>
      </c>
      <c r="I977" s="68"/>
      <c r="J977" s="21"/>
      <c r="K977" s="21"/>
      <c r="L977" s="35"/>
      <c r="M977" s="35"/>
    </row>
    <row r="978" spans="9:11" ht="15">
      <c r="I978" s="68"/>
      <c r="J978" s="58"/>
      <c r="K978" s="58"/>
    </row>
    <row r="979" spans="3:20" ht="15">
      <c r="C979" s="47"/>
      <c r="D979" s="47"/>
      <c r="E979" s="47"/>
      <c r="F979" s="47"/>
      <c r="G979" s="21"/>
      <c r="I979" s="15" t="s">
        <v>0</v>
      </c>
      <c r="J979" s="35">
        <v>31.1</v>
      </c>
      <c r="K979" s="35"/>
      <c r="O979" s="58">
        <f>+(O974*O975)/(O972*O973)</f>
        <v>32.099999999999966</v>
      </c>
      <c r="P979" s="58"/>
      <c r="Q979" s="42">
        <f>+Q974*Q975</f>
        <v>2.42241836377175</v>
      </c>
      <c r="S979" s="58">
        <f>+(S974*S975)/(S972*S973)</f>
        <v>32.100000000000016</v>
      </c>
      <c r="T979" s="35">
        <v>31.1</v>
      </c>
    </row>
    <row r="980" spans="9:20" ht="15">
      <c r="I980" s="15" t="s">
        <v>2</v>
      </c>
      <c r="J980" s="57">
        <v>-64.2</v>
      </c>
      <c r="K980" s="57"/>
      <c r="O980" s="35"/>
      <c r="P980" s="35"/>
      <c r="Q980" s="35">
        <f>+Q972*Q973</f>
        <v>0.17252868365697843</v>
      </c>
      <c r="S980" s="15" t="s">
        <v>2</v>
      </c>
      <c r="T980" s="45">
        <f>Q985</f>
        <v>-45.43137237937225</v>
      </c>
    </row>
    <row r="981" spans="3:20" ht="15">
      <c r="C981" s="20">
        <v>0.01</v>
      </c>
      <c r="I981" s="15" t="s">
        <v>4</v>
      </c>
      <c r="J981" s="57">
        <v>32.1</v>
      </c>
      <c r="K981" s="57"/>
      <c r="Q981" s="42">
        <f>+Q974+Q975</f>
        <v>3.6999558720459085</v>
      </c>
      <c r="S981" s="15" t="s">
        <v>4</v>
      </c>
      <c r="T981" s="21">
        <f>Q986</f>
        <v>3.1157523816172583</v>
      </c>
    </row>
    <row r="982" spans="3:20" ht="15">
      <c r="C982" s="45">
        <f>+(0.0001)^2/B974/B975</f>
        <v>0.0034673685045253175</v>
      </c>
      <c r="I982" s="15" t="s">
        <v>7</v>
      </c>
      <c r="J982" s="21">
        <f>+(J980^2)-4*J979*J981</f>
        <v>128.4000000000001</v>
      </c>
      <c r="K982" s="21"/>
      <c r="Q982" s="42">
        <f>-Q972-Q973</f>
        <v>-1.3000441279540915</v>
      </c>
      <c r="S982" s="15" t="s">
        <v>7</v>
      </c>
      <c r="T982" s="21">
        <f>+(T980^2)-4*T979*T981</f>
        <v>1676.4100000000005</v>
      </c>
    </row>
    <row r="983" spans="3:20" ht="15">
      <c r="C983" s="45">
        <f>0.0001/(B975)</f>
        <v>1.8620871366628677</v>
      </c>
      <c r="I983" s="15" t="s">
        <v>6</v>
      </c>
      <c r="J983" s="21">
        <f>+SQRT(J982)</f>
        <v>11.33137237937224</v>
      </c>
      <c r="K983" s="21"/>
      <c r="Q983" s="42">
        <f>+J976*Q980</f>
        <v>5.538170745389008</v>
      </c>
      <c r="S983" s="15" t="s">
        <v>6</v>
      </c>
      <c r="T983" s="21">
        <f>+SQRT(T982)</f>
        <v>40.94398612739117</v>
      </c>
    </row>
    <row r="984" spans="3:20" ht="15">
      <c r="C984" s="45">
        <f>+C982+C983+1</f>
        <v>2.8655545051673927</v>
      </c>
      <c r="I984" s="30" t="s">
        <v>8</v>
      </c>
      <c r="J984" s="50">
        <f>+(-J980+J983)/(2*J979)</f>
        <v>1.2143307456490713</v>
      </c>
      <c r="K984" s="50"/>
      <c r="Q984" s="42">
        <f>+Q982*J976</f>
        <v>-41.73141650732634</v>
      </c>
      <c r="S984" s="30" t="s">
        <v>8</v>
      </c>
      <c r="T984" s="50">
        <f>+(-T980+T983)/(2*T979)</f>
        <v>1.3886713586296369</v>
      </c>
    </row>
    <row r="985" spans="3:20" ht="15">
      <c r="C985" s="50">
        <f>+C981/C984</f>
        <v>0.0034897259786778496</v>
      </c>
      <c r="D985" s="50">
        <f>0.0001*C985/B975</f>
        <v>0.0064981738553742605</v>
      </c>
      <c r="E985" s="50">
        <f>0.0001*D985/B974</f>
        <v>1.2100165947891367E-05</v>
      </c>
      <c r="F985" s="50">
        <f>0.00000000000001/0.0001</f>
        <v>9.999999999999999E-11</v>
      </c>
      <c r="G985" s="50">
        <v>0.0001</v>
      </c>
      <c r="H985" s="50">
        <f>+C985*2+D985+F985-G985</f>
        <v>0.01337762591272996</v>
      </c>
      <c r="I985" s="30" t="s">
        <v>9</v>
      </c>
      <c r="J985" s="21">
        <f>+(-J980-J983)/(2*J979)</f>
        <v>0.8499779360229544</v>
      </c>
      <c r="K985" s="21"/>
      <c r="L985" s="86"/>
      <c r="M985" s="86"/>
      <c r="Q985" s="35">
        <f>+Q984-Q981</f>
        <v>-45.43137237937225</v>
      </c>
      <c r="S985" s="30" t="s">
        <v>9</v>
      </c>
      <c r="T985" s="21">
        <f>+(-T980-T983)/(2*T979)</f>
        <v>0.07214447350451894</v>
      </c>
    </row>
    <row r="986" spans="3:17" ht="15">
      <c r="C986" s="51" t="s">
        <v>465</v>
      </c>
      <c r="D986" s="51" t="s">
        <v>466</v>
      </c>
      <c r="E986" s="51" t="s">
        <v>467</v>
      </c>
      <c r="F986" s="51" t="s">
        <v>147</v>
      </c>
      <c r="G986" s="51" t="s">
        <v>10</v>
      </c>
      <c r="H986" s="51" t="s">
        <v>468</v>
      </c>
      <c r="I986" s="21"/>
      <c r="Q986" s="42">
        <f>+Q983-Q979</f>
        <v>3.1157523816172583</v>
      </c>
    </row>
    <row r="987" spans="9:11" ht="15">
      <c r="I987" s="21"/>
      <c r="J987" s="38"/>
      <c r="K987" s="38"/>
    </row>
    <row r="988" spans="10:13" ht="15">
      <c r="J988" s="20" t="s">
        <v>184</v>
      </c>
      <c r="L988" s="32">
        <f>1/(0.0821*298)</f>
        <v>0.040873382435890095</v>
      </c>
      <c r="M988" s="32"/>
    </row>
    <row r="989" spans="1:13" ht="15">
      <c r="A989" s="58">
        <f>0.0821*293/0.8</f>
        <v>30.069125000000003</v>
      </c>
      <c r="B989" s="35">
        <f>+(1+A992)/(1+5*A992)</f>
        <v>0.23681188516362175</v>
      </c>
      <c r="J989" s="20" t="s">
        <v>64</v>
      </c>
      <c r="L989" s="32">
        <f>+L988*2</f>
        <v>0.08174676487178019</v>
      </c>
      <c r="M989" s="32"/>
    </row>
    <row r="990" spans="1:14" ht="15">
      <c r="A990" s="58">
        <f>34*A989/0.0821/573</f>
        <v>21.732111692844676</v>
      </c>
      <c r="B990" s="35">
        <f>4*A992/(1+5*A992)</f>
        <v>0.7631881148363782</v>
      </c>
      <c r="J990" s="20" t="s">
        <v>28</v>
      </c>
      <c r="L990" s="35">
        <f>+L988*20</f>
        <v>0.8174676487178019</v>
      </c>
      <c r="M990" s="35"/>
      <c r="N990" s="35">
        <f>+L990*2.5</f>
        <v>2.0436691217945047</v>
      </c>
    </row>
    <row r="991" ht="15">
      <c r="A991" s="58">
        <f>+A990-1</f>
        <v>20.732111692844676</v>
      </c>
    </row>
    <row r="992" ht="15">
      <c r="A992" s="42">
        <f>+A991/5</f>
        <v>4.146422338568935</v>
      </c>
    </row>
    <row r="994" ht="15">
      <c r="I994" s="42"/>
    </row>
    <row r="995" spans="1:2" ht="15">
      <c r="A995" s="20">
        <v>7.4</v>
      </c>
      <c r="B995" s="21">
        <f>10^-A995</f>
        <v>3.981071705534957E-08</v>
      </c>
    </row>
    <row r="996" spans="1:2" ht="15">
      <c r="A996" s="20">
        <v>7.21</v>
      </c>
      <c r="B996" s="21">
        <f>10^-A996</f>
        <v>6.165950018614809E-08</v>
      </c>
    </row>
    <row r="997" spans="2:20" ht="15">
      <c r="B997" s="21">
        <f>+B995/B996</f>
        <v>0.6456542290346544</v>
      </c>
      <c r="J997" s="7" t="s">
        <v>188</v>
      </c>
      <c r="K997" s="7"/>
      <c r="L997" s="7" t="s">
        <v>101</v>
      </c>
      <c r="M997" s="7"/>
      <c r="N997" s="7" t="s">
        <v>102</v>
      </c>
      <c r="O997" s="7" t="s">
        <v>189</v>
      </c>
      <c r="P997" s="7"/>
      <c r="Q997" s="7" t="s">
        <v>190</v>
      </c>
      <c r="R997" s="7"/>
      <c r="S997" s="7"/>
      <c r="T997" s="7"/>
    </row>
    <row r="998" spans="2:16" ht="15">
      <c r="B998" s="21">
        <f>1/B997</f>
        <v>1.548816618912484</v>
      </c>
      <c r="I998" s="68" t="s">
        <v>20</v>
      </c>
      <c r="J998" s="58">
        <v>50</v>
      </c>
      <c r="K998" s="58"/>
      <c r="L998" s="58">
        <f>+J998/2.016</f>
        <v>24.8015873015873</v>
      </c>
      <c r="M998" s="58"/>
      <c r="N998" s="21">
        <f>+L998-2*Q1016</f>
        <v>10.14096470165502</v>
      </c>
      <c r="O998" s="21">
        <f>+N998/3000</f>
        <v>0.0033803215672183404</v>
      </c>
      <c r="P998" s="21"/>
    </row>
    <row r="999" spans="9:17" ht="15">
      <c r="I999" s="68" t="s">
        <v>186</v>
      </c>
      <c r="J999" s="20">
        <f>2*1000</f>
        <v>2000</v>
      </c>
      <c r="L999" s="58">
        <f>+J999/86.94</f>
        <v>23.004370830457788</v>
      </c>
      <c r="M999" s="58"/>
      <c r="N999" s="21">
        <f>+L999-N998/2</f>
        <v>17.933888479630276</v>
      </c>
      <c r="Q999" s="60">
        <f>+N999*86.94</f>
        <v>1559.172264419056</v>
      </c>
    </row>
    <row r="1000" spans="9:17" ht="15">
      <c r="I1000" s="68" t="s">
        <v>187</v>
      </c>
      <c r="L1000" s="58"/>
      <c r="M1000" s="58"/>
      <c r="N1000" s="21">
        <f>+N998/2</f>
        <v>5.07048235082751</v>
      </c>
      <c r="Q1000" s="60">
        <f>+N1000*54.938</f>
        <v>278.56215938976175</v>
      </c>
    </row>
    <row r="1001" spans="9:16" ht="15">
      <c r="I1001" s="68" t="s">
        <v>82</v>
      </c>
      <c r="L1001" s="58"/>
      <c r="M1001" s="58"/>
      <c r="N1001" s="21">
        <f>2*Q1016</f>
        <v>14.66062259993228</v>
      </c>
      <c r="O1001" s="21">
        <f>+N1001/3000</f>
        <v>0.004886874199977426</v>
      </c>
      <c r="P1001" s="21"/>
    </row>
    <row r="1002" spans="1:15" ht="15">
      <c r="A1002" s="57">
        <v>1.8E-05</v>
      </c>
      <c r="B1002" s="21">
        <f>+A1002*A1006</f>
        <v>3.464180857310628E-06</v>
      </c>
      <c r="C1002" s="35">
        <v>1</v>
      </c>
      <c r="I1002" s="68" t="s">
        <v>29</v>
      </c>
      <c r="L1002" s="20">
        <v>2.09</v>
      </c>
      <c r="N1002" s="20">
        <f>+N1001^2/N998^2</f>
        <v>2.0899999999999976</v>
      </c>
      <c r="O1002" s="20">
        <f>+O1001^2/O998^2</f>
        <v>2.0899999999999967</v>
      </c>
    </row>
    <row r="1003" spans="1:3" ht="15">
      <c r="A1003" s="20">
        <f>300*0.95</f>
        <v>285</v>
      </c>
      <c r="C1003" s="57">
        <f>A1002</f>
        <v>1.8E-05</v>
      </c>
    </row>
    <row r="1004" spans="1:17" ht="15">
      <c r="A1004" s="20">
        <f>+A1003*13.8/100</f>
        <v>39.33</v>
      </c>
      <c r="C1004" s="57">
        <f>-B1002</f>
        <v>-3.464180857310628E-06</v>
      </c>
      <c r="L1004" s="60">
        <f>+L998*L998</f>
        <v>615.1187326782564</v>
      </c>
      <c r="M1004" s="60"/>
      <c r="N1004" s="60">
        <f>+$L$1002*L1004</f>
        <v>1285.5981512975557</v>
      </c>
      <c r="O1004" s="60"/>
      <c r="P1004" s="60"/>
      <c r="Q1004" s="60"/>
    </row>
    <row r="1005" spans="1:14" ht="15">
      <c r="A1005" s="42">
        <f>+A1004/17.03</f>
        <v>2.309453904873752</v>
      </c>
      <c r="C1005" s="21">
        <f>+(C1003^2)-4*C1002*C1004</f>
        <v>1.3857047429242511E-05</v>
      </c>
      <c r="L1005" s="58">
        <f>4*L998</f>
        <v>99.2063492063492</v>
      </c>
      <c r="M1005" s="58"/>
      <c r="N1005" s="60">
        <f>+$L$1002*L1005</f>
        <v>207.34126984126982</v>
      </c>
    </row>
    <row r="1006" spans="1:15" ht="15">
      <c r="A1006" s="35">
        <f>+A1005/12</f>
        <v>0.19245449207281265</v>
      </c>
      <c r="C1006" s="21">
        <f>+SQRT(C1005)</f>
        <v>0.003722505531123159</v>
      </c>
      <c r="L1006" s="60">
        <v>4</v>
      </c>
      <c r="M1006" s="60"/>
      <c r="N1006" s="20">
        <f>+$L$1002*L1006</f>
        <v>8.36</v>
      </c>
      <c r="O1006" s="20">
        <f>+N1006-4</f>
        <v>4.359999999999999</v>
      </c>
    </row>
    <row r="1007" spans="1:17" ht="15">
      <c r="A1007" s="58">
        <f>100*A1006/0.3</f>
        <v>64.15149735760421</v>
      </c>
      <c r="C1007" s="50">
        <f>+(-C1003+C1006)/(2*C1002)</f>
        <v>0.0018522527655615796</v>
      </c>
      <c r="D1007" s="42">
        <f>-LOG10(C1007)</f>
        <v>2.732299748108658</v>
      </c>
      <c r="E1007" s="44">
        <f>14-D1007</f>
        <v>11.267700251891341</v>
      </c>
      <c r="L1007" s="58"/>
      <c r="M1007" s="58"/>
      <c r="N1007" s="44"/>
      <c r="O1007" s="60"/>
      <c r="P1007" s="60"/>
      <c r="Q1007" s="60"/>
    </row>
    <row r="1008" ht="15">
      <c r="C1008" s="21">
        <f>+(-C1003-C1006)/(2*C1002)</f>
        <v>-0.0018702527655615794</v>
      </c>
    </row>
    <row r="1010" spans="15:17" ht="15">
      <c r="O1010" s="15" t="s">
        <v>0</v>
      </c>
      <c r="P1010" s="15"/>
      <c r="Q1010" s="35">
        <f>O1006</f>
        <v>4.359999999999999</v>
      </c>
    </row>
    <row r="1011" spans="15:17" ht="15">
      <c r="O1011" s="15" t="s">
        <v>2</v>
      </c>
      <c r="P1011" s="15"/>
      <c r="Q1011" s="57">
        <f>-N1005</f>
        <v>-207.34126984126982</v>
      </c>
    </row>
    <row r="1012" spans="1:17" ht="15">
      <c r="A1012" s="51" t="s">
        <v>160</v>
      </c>
      <c r="B1012" s="20">
        <v>36.46</v>
      </c>
      <c r="D1012" s="51" t="s">
        <v>87</v>
      </c>
      <c r="E1012" s="20">
        <v>17.03</v>
      </c>
      <c r="O1012" s="15" t="s">
        <v>4</v>
      </c>
      <c r="P1012" s="15"/>
      <c r="Q1012" s="57">
        <f>N1004</f>
        <v>1285.5981512975557</v>
      </c>
    </row>
    <row r="1013" spans="1:17" ht="15">
      <c r="A1013" s="20">
        <v>37</v>
      </c>
      <c r="B1013" s="20">
        <v>10</v>
      </c>
      <c r="D1013" s="20">
        <v>31.5</v>
      </c>
      <c r="E1013" s="20">
        <v>28</v>
      </c>
      <c r="O1013" s="15" t="s">
        <v>7</v>
      </c>
      <c r="P1013" s="15"/>
      <c r="Q1013" s="21">
        <f>+(Q1011^2)-4*Q1010*Q1012</f>
        <v>20569.570420760898</v>
      </c>
    </row>
    <row r="1014" spans="1:17" ht="15">
      <c r="A1014" s="20">
        <v>1.19</v>
      </c>
      <c r="B1014" s="20">
        <v>1.05</v>
      </c>
      <c r="D1014" s="20">
        <v>0.88</v>
      </c>
      <c r="E1014" s="42">
        <v>0.9</v>
      </c>
      <c r="O1014" s="15" t="s">
        <v>6</v>
      </c>
      <c r="P1014" s="15"/>
      <c r="Q1014" s="21">
        <f>+SQRT(Q1013)</f>
        <v>143.4209553055651</v>
      </c>
    </row>
    <row r="1015" spans="1:17" ht="15">
      <c r="A1015" s="42">
        <f>+A1013/$B$1012</f>
        <v>1.0148107515085025</v>
      </c>
      <c r="B1015" s="35">
        <f>+B1013/$B$1012</f>
        <v>0.27427317608337903</v>
      </c>
      <c r="D1015" s="42">
        <f>+D1013/$E$1012</f>
        <v>1.849677040516735</v>
      </c>
      <c r="E1015" s="42">
        <f>+E1013/$E$1012</f>
        <v>1.644157369348209</v>
      </c>
      <c r="O1015" s="30" t="s">
        <v>8</v>
      </c>
      <c r="P1015" s="30"/>
      <c r="Q1015" s="50">
        <f>+(-Q1011+Q1014)/(2*Q1010)</f>
        <v>40.22502581959117</v>
      </c>
    </row>
    <row r="1016" spans="1:17" ht="15">
      <c r="A1016" s="42">
        <f>100/A1014</f>
        <v>84.03361344537815</v>
      </c>
      <c r="B1016" s="42">
        <f>100/B1014</f>
        <v>95.23809523809524</v>
      </c>
      <c r="D1016" s="58">
        <f>100/D1014</f>
        <v>113.63636363636364</v>
      </c>
      <c r="E1016" s="58">
        <f>100/E1014</f>
        <v>111.11111111111111</v>
      </c>
      <c r="O1016" s="30" t="s">
        <v>9</v>
      </c>
      <c r="P1016" s="30"/>
      <c r="Q1016" s="63">
        <f>+(-Q1011-Q1014)/(2*Q1010)</f>
        <v>7.33031129996614</v>
      </c>
    </row>
    <row r="1017" spans="1:5" ht="15">
      <c r="A1017" s="42">
        <f>+A1015/(A1016/1000)</f>
        <v>12.076247942951179</v>
      </c>
      <c r="B1017" s="42">
        <f>+B1015/(B1016/1000)</f>
        <v>2.8798683488754797</v>
      </c>
      <c r="D1017" s="42">
        <f>+D1015/(D1016/1000)</f>
        <v>16.277157956547267</v>
      </c>
      <c r="E1017" s="42">
        <f>+E1015/(E1016/1000)</f>
        <v>14.79741632413388</v>
      </c>
    </row>
    <row r="1018" spans="1:5" ht="15">
      <c r="A1018" s="58">
        <f>+B1017*B1018/A1017</f>
        <v>238.47376788553257</v>
      </c>
      <c r="B1018" s="20">
        <v>1000</v>
      </c>
      <c r="D1018" s="58">
        <f>+E1017*E1018/D1017</f>
        <v>909.0909090909092</v>
      </c>
      <c r="E1018" s="20">
        <v>1000</v>
      </c>
    </row>
    <row r="1019" ht="15">
      <c r="T1019" s="7"/>
    </row>
    <row r="1020" ht="15">
      <c r="T1020" s="20" t="e">
        <f>+(S1022*S1023)/(S1037*S1038)</f>
        <v>#DIV/0!</v>
      </c>
    </row>
    <row r="1021" spans="1:10" ht="15">
      <c r="A1021" s="235" t="s">
        <v>160</v>
      </c>
      <c r="B1021" s="239">
        <v>36.46</v>
      </c>
      <c r="C1021" s="236" t="s">
        <v>375</v>
      </c>
      <c r="D1021" s="242">
        <f>+D1024/D1025</f>
        <v>4.193333333333333</v>
      </c>
      <c r="E1021" s="242">
        <f>+E1024/E1025</f>
        <v>0.23847376788553257</v>
      </c>
      <c r="F1021" s="242">
        <f>+F1024/F1025</f>
        <v>5.285714285714286</v>
      </c>
      <c r="G1021" s="242"/>
      <c r="H1021" s="242"/>
      <c r="I1021" s="242"/>
      <c r="J1021" s="242"/>
    </row>
    <row r="1022" spans="2:19" ht="15">
      <c r="B1022" s="126" t="s">
        <v>344</v>
      </c>
      <c r="C1022" s="126" t="s">
        <v>227</v>
      </c>
      <c r="D1022" s="126" t="s">
        <v>56</v>
      </c>
      <c r="E1022" s="126" t="s">
        <v>41</v>
      </c>
      <c r="F1022" s="216" t="s">
        <v>482</v>
      </c>
      <c r="G1022" s="126" t="s">
        <v>41</v>
      </c>
      <c r="H1022" s="126"/>
      <c r="I1022" s="216"/>
      <c r="J1022" s="126"/>
      <c r="L1022" s="35"/>
      <c r="M1022" s="35"/>
      <c r="O1022" s="35" t="e">
        <f>+L1022/$N$1037</f>
        <v>#DIV/0!</v>
      </c>
      <c r="P1022" s="35"/>
      <c r="Q1022" s="42">
        <f>+L1022+2</f>
        <v>2</v>
      </c>
      <c r="R1022" s="42">
        <f>+Q1022+$T$985</f>
        <v>2.072144473504519</v>
      </c>
      <c r="S1022" s="42">
        <f>+R1022/$R$976</f>
        <v>0.41442889470090377</v>
      </c>
    </row>
    <row r="1023" spans="2:19" ht="15">
      <c r="B1023" s="215" t="s">
        <v>478</v>
      </c>
      <c r="C1023" s="215" t="s">
        <v>477</v>
      </c>
      <c r="D1023" s="215" t="s">
        <v>43</v>
      </c>
      <c r="E1023" s="215" t="s">
        <v>197</v>
      </c>
      <c r="F1023" s="217" t="s">
        <v>483</v>
      </c>
      <c r="G1023" s="246" t="s">
        <v>197</v>
      </c>
      <c r="H1023" s="217"/>
      <c r="I1023" s="217"/>
      <c r="J1023" s="217"/>
      <c r="L1023" s="35"/>
      <c r="M1023" s="35"/>
      <c r="O1023" s="35" t="e">
        <f>+L1023/$N$1037</f>
        <v>#DIV/0!</v>
      </c>
      <c r="P1023" s="35"/>
      <c r="Q1023" s="42">
        <f>L1023</f>
        <v>0</v>
      </c>
      <c r="R1023" s="42">
        <f>+Q1023+$T$985</f>
        <v>0.07214447350451894</v>
      </c>
      <c r="S1023" s="42">
        <f>+R1023/$R$976</f>
        <v>0.014428894700903788</v>
      </c>
    </row>
    <row r="1024" spans="1:19" ht="15">
      <c r="A1024" s="164" t="s">
        <v>475</v>
      </c>
      <c r="B1024" s="215">
        <v>37</v>
      </c>
      <c r="C1024" s="215">
        <v>1.19</v>
      </c>
      <c r="D1024" s="139">
        <f>+(B1024/$B$1021)/(100/C1024/1000)</f>
        <v>12.076247942951179</v>
      </c>
      <c r="E1024" s="238">
        <f>+D1025*E1025/D1024</f>
        <v>238.47376788553257</v>
      </c>
      <c r="F1024" s="139">
        <f>+(B1024/$B$1021)/((100-B1024)/1000)</f>
        <v>16.108107166801627</v>
      </c>
      <c r="G1024" s="238">
        <f>+E1025*B1025*C1025/B1024/C1024</f>
        <v>238.47376788553262</v>
      </c>
      <c r="H1024" s="136"/>
      <c r="I1024" s="241"/>
      <c r="J1024" s="238"/>
      <c r="K1024" s="58"/>
      <c r="L1024" s="42"/>
      <c r="M1024" s="42"/>
      <c r="O1024" s="42" t="e">
        <f>SUM(O1020:O1023)</f>
        <v>#DIV/0!</v>
      </c>
      <c r="P1024" s="42"/>
      <c r="Q1024" s="42">
        <f>SUM(Q1020:Q1023)</f>
        <v>2</v>
      </c>
      <c r="R1024" s="42">
        <f>SUM(R1020:R1023)</f>
        <v>2.144288947009038</v>
      </c>
      <c r="S1024" s="42">
        <f>SUM(S1020:S1023)</f>
        <v>0.4288577894018076</v>
      </c>
    </row>
    <row r="1025" spans="1:11" ht="15">
      <c r="A1025" s="164" t="s">
        <v>476</v>
      </c>
      <c r="B1025" s="215">
        <v>10</v>
      </c>
      <c r="C1025" s="215">
        <v>1.05</v>
      </c>
      <c r="D1025" s="139">
        <f>+(B1025/$B$1021)/(100/C1025/1000)</f>
        <v>2.8798683488754797</v>
      </c>
      <c r="E1025" s="215">
        <v>1000</v>
      </c>
      <c r="F1025" s="139">
        <f>+(B1025/$B$1021)/((100-B1025)/1000)</f>
        <v>3.0474797342597673</v>
      </c>
      <c r="G1025" s="217"/>
      <c r="H1025" s="136"/>
      <c r="I1025" s="240"/>
      <c r="J1025" s="243"/>
      <c r="K1025" s="60"/>
    </row>
    <row r="1026" spans="9:16" ht="15">
      <c r="I1026" s="68"/>
      <c r="J1026" s="60"/>
      <c r="K1026" s="60"/>
      <c r="O1026" s="60" t="e">
        <f>+O1023*O1022/(O1037^2*O1038)</f>
        <v>#DIV/0!</v>
      </c>
      <c r="P1026" s="60"/>
    </row>
    <row r="1027" spans="1:11" ht="15">
      <c r="A1027" s="235" t="s">
        <v>87</v>
      </c>
      <c r="B1027" s="239">
        <v>17.03</v>
      </c>
      <c r="C1027" s="236" t="s">
        <v>375</v>
      </c>
      <c r="D1027" s="236"/>
      <c r="E1027" s="237"/>
      <c r="I1027" s="68"/>
      <c r="J1027" s="60"/>
      <c r="K1027" s="60"/>
    </row>
    <row r="1028" spans="2:9" ht="15">
      <c r="B1028" s="132" t="s">
        <v>344</v>
      </c>
      <c r="C1028" s="132" t="s">
        <v>227</v>
      </c>
      <c r="D1028" s="132" t="s">
        <v>56</v>
      </c>
      <c r="E1028" s="132" t="s">
        <v>41</v>
      </c>
      <c r="I1028" s="68"/>
    </row>
    <row r="1029" spans="2:5" ht="15">
      <c r="B1029" s="215" t="s">
        <v>478</v>
      </c>
      <c r="C1029" s="215" t="s">
        <v>477</v>
      </c>
      <c r="D1029" s="215" t="s">
        <v>43</v>
      </c>
      <c r="E1029" s="215" t="s">
        <v>197</v>
      </c>
    </row>
    <row r="1030" spans="1:5" ht="15">
      <c r="A1030" s="164" t="s">
        <v>475</v>
      </c>
      <c r="B1030" s="215">
        <v>31.5</v>
      </c>
      <c r="C1030" s="215">
        <v>0.88</v>
      </c>
      <c r="D1030" s="139">
        <f>+(B1030/$B$1027)/(100/C1030/1000)</f>
        <v>16.277157956547267</v>
      </c>
      <c r="E1030" s="238">
        <f>+D1031*E1031/D1030</f>
        <v>909.0909090909092</v>
      </c>
    </row>
    <row r="1031" spans="1:11" ht="15">
      <c r="A1031" s="164" t="s">
        <v>476</v>
      </c>
      <c r="B1031" s="215">
        <v>28</v>
      </c>
      <c r="C1031" s="139">
        <v>0.9</v>
      </c>
      <c r="D1031" s="139">
        <f>+(B1031/$B$1027)/(100/C1031/1000)</f>
        <v>14.79741632413388</v>
      </c>
      <c r="E1031" s="215">
        <v>1000</v>
      </c>
      <c r="J1031" s="60"/>
      <c r="K1031" s="60"/>
    </row>
    <row r="1032" spans="10:13" ht="15">
      <c r="J1032" s="60"/>
      <c r="K1032" s="60"/>
      <c r="L1032" s="60"/>
      <c r="M1032" s="60"/>
    </row>
    <row r="1033" spans="10:13" ht="15">
      <c r="J1033" s="60"/>
      <c r="K1033" s="60"/>
      <c r="L1033" s="60"/>
      <c r="M1033" s="60"/>
    </row>
    <row r="1034" spans="1:13" ht="15">
      <c r="A1034" s="51" t="s">
        <v>479</v>
      </c>
      <c r="B1034" s="35">
        <f>2.723/22.414</f>
        <v>0.12148657089319174</v>
      </c>
      <c r="C1034" s="20">
        <f>+B1035*B1037*B1038</f>
        <v>2603.068087554944</v>
      </c>
      <c r="L1034" s="98"/>
      <c r="M1034" s="98"/>
    </row>
    <row r="1035" spans="2:3" ht="15">
      <c r="B1035" s="54">
        <f>2.723/0.0821/298.15</f>
        <v>0.1112422259638865</v>
      </c>
      <c r="C1035" s="20">
        <f>+C1034-2340</f>
        <v>263.0680875549442</v>
      </c>
    </row>
    <row r="1036" spans="3:19" ht="15">
      <c r="C1036" s="20">
        <f>300-234</f>
        <v>66</v>
      </c>
      <c r="J1036" s="7" t="s">
        <v>101</v>
      </c>
      <c r="K1036" s="7"/>
      <c r="L1036" s="7"/>
      <c r="M1036" s="7"/>
      <c r="N1036" s="7"/>
      <c r="O1036" s="7" t="s">
        <v>185</v>
      </c>
      <c r="P1036" s="7"/>
      <c r="Q1036" s="7" t="s">
        <v>33</v>
      </c>
      <c r="R1036" s="7"/>
      <c r="S1036" s="7"/>
    </row>
    <row r="1037" spans="1:19" ht="15">
      <c r="A1037" s="20" t="s">
        <v>480</v>
      </c>
      <c r="B1037" s="20">
        <v>100</v>
      </c>
      <c r="C1037" s="58">
        <f>+C1035/66</f>
        <v>3.9858801144688516</v>
      </c>
      <c r="I1037" s="68" t="s">
        <v>85</v>
      </c>
      <c r="J1037" s="60">
        <f>(8500000*0.065)/(0.0821*367)</f>
        <v>18336.779430945844</v>
      </c>
      <c r="K1037" s="60"/>
      <c r="L1037" s="32"/>
      <c r="M1037" s="32"/>
      <c r="N1037" s="31"/>
      <c r="O1037" s="42">
        <f>+J1037/J1039</f>
        <v>0.65</v>
      </c>
      <c r="P1037" s="42"/>
      <c r="Q1037" s="57">
        <f>+O1038^2*8500000/O1037</f>
        <v>1601923.0769230772</v>
      </c>
      <c r="R1037" s="42"/>
      <c r="S1037" s="42"/>
    </row>
    <row r="1038" spans="1:19" ht="15">
      <c r="A1038" s="20" t="s">
        <v>481</v>
      </c>
      <c r="B1038" s="20">
        <v>234</v>
      </c>
      <c r="I1038" s="68" t="s">
        <v>191</v>
      </c>
      <c r="J1038" s="60">
        <f>(8500000*0.035)/(0.0821*367)</f>
        <v>9873.650462816993</v>
      </c>
      <c r="K1038" s="60"/>
      <c r="L1038" s="35"/>
      <c r="M1038" s="35"/>
      <c r="O1038" s="42">
        <f>+J1038/J1039</f>
        <v>0.35000000000000003</v>
      </c>
      <c r="P1038" s="42"/>
      <c r="Q1038" s="42"/>
      <c r="R1038" s="35"/>
      <c r="S1038" s="35"/>
    </row>
    <row r="1039" spans="10:11" ht="15">
      <c r="J1039" s="60">
        <f>SUM(J1037:J1038)</f>
        <v>28210.429893762837</v>
      </c>
      <c r="K1039" s="60"/>
    </row>
    <row r="1042" spans="1:16" ht="15">
      <c r="A1042" s="20">
        <f>100/40</f>
        <v>2.5</v>
      </c>
      <c r="C1042" s="42">
        <f>+A1044/A1046</f>
        <v>0.5578947368421053</v>
      </c>
      <c r="D1042" s="20" t="s">
        <v>484</v>
      </c>
      <c r="E1042" s="57">
        <f>+C1042/106</f>
        <v>0.005263157894736843</v>
      </c>
      <c r="F1042" s="58">
        <f>+E1042*1000</f>
        <v>5.2631578947368425</v>
      </c>
      <c r="G1042" s="20" t="s">
        <v>486</v>
      </c>
      <c r="I1042" s="15" t="s">
        <v>0</v>
      </c>
      <c r="J1042" s="35">
        <v>1</v>
      </c>
      <c r="K1042" s="35"/>
      <c r="O1042" s="21">
        <v>-3.2E-06</v>
      </c>
      <c r="P1042" s="21"/>
    </row>
    <row r="1043" spans="1:16" ht="15">
      <c r="A1043" s="42">
        <f>+A1042/3</f>
        <v>0.8333333333333334</v>
      </c>
      <c r="C1043" s="42">
        <f>+A1045/A1046</f>
        <v>0.4421052631578947</v>
      </c>
      <c r="D1043" s="20" t="s">
        <v>485</v>
      </c>
      <c r="E1043" s="57">
        <f>+C1043/84</f>
        <v>0.005263157894736842</v>
      </c>
      <c r="F1043" s="58">
        <f>+F1042*3</f>
        <v>15.789473684210527</v>
      </c>
      <c r="G1043" s="20" t="s">
        <v>487</v>
      </c>
      <c r="I1043" s="15" t="s">
        <v>2</v>
      </c>
      <c r="J1043" s="57">
        <f>O1044</f>
        <v>-3.3999999999999996E-06</v>
      </c>
      <c r="K1043" s="57"/>
      <c r="O1043" s="21">
        <v>-2E-07</v>
      </c>
      <c r="P1043" s="21"/>
    </row>
    <row r="1044" spans="1:16" ht="15">
      <c r="A1044" s="58">
        <f>+A1043*106</f>
        <v>88.33333333333334</v>
      </c>
      <c r="B1044" s="20" t="s">
        <v>484</v>
      </c>
      <c r="C1044" s="42">
        <f>SUM(C1042:C1043)</f>
        <v>1</v>
      </c>
      <c r="I1044" s="15" t="s">
        <v>4</v>
      </c>
      <c r="J1044" s="57">
        <v>3.2E-13</v>
      </c>
      <c r="K1044" s="57"/>
      <c r="O1044" s="21">
        <f>SUM(O1042:O1043)</f>
        <v>-3.3999999999999996E-06</v>
      </c>
      <c r="P1044" s="21"/>
    </row>
    <row r="1045" spans="1:11" ht="15">
      <c r="A1045" s="58">
        <f>+A1043*84</f>
        <v>70</v>
      </c>
      <c r="B1045" s="20" t="s">
        <v>485</v>
      </c>
      <c r="F1045" s="20">
        <f>+F1042*3</f>
        <v>15.789473684210527</v>
      </c>
      <c r="I1045" s="15" t="s">
        <v>7</v>
      </c>
      <c r="J1045" s="21">
        <f>+(J1043^2)-4*J1042*J1044</f>
        <v>1.0279999999999997E-11</v>
      </c>
      <c r="K1045" s="21"/>
    </row>
    <row r="1046" spans="1:11" ht="15">
      <c r="A1046" s="58">
        <f>+A1044+A1045</f>
        <v>158.33333333333334</v>
      </c>
      <c r="F1046" s="42"/>
      <c r="I1046" s="15" t="s">
        <v>6</v>
      </c>
      <c r="J1046" s="21">
        <f>+SQRT(J1045)</f>
        <v>3.206243908376279E-06</v>
      </c>
      <c r="K1046" s="21"/>
    </row>
    <row r="1047" spans="9:11" ht="15">
      <c r="I1047" s="30" t="s">
        <v>8</v>
      </c>
      <c r="J1047" s="50">
        <f>+(-J1043+J1046)/(2*J1042)</f>
        <v>3.303121954188139E-06</v>
      </c>
      <c r="K1047" s="50"/>
    </row>
    <row r="1048" spans="1:11" ht="15">
      <c r="A1048" s="319" t="s">
        <v>488</v>
      </c>
      <c r="B1048" s="319"/>
      <c r="C1048" s="319"/>
      <c r="D1048" s="319"/>
      <c r="I1048" s="30" t="s">
        <v>9</v>
      </c>
      <c r="J1048" s="57">
        <f>+(-J1043-J1046)/(2*J1042)</f>
        <v>9.687804581186028E-08</v>
      </c>
      <c r="K1048" s="57"/>
    </row>
    <row r="1049" spans="1:4" ht="15">
      <c r="A1049" s="247" t="s">
        <v>489</v>
      </c>
      <c r="B1049" s="247" t="s">
        <v>490</v>
      </c>
      <c r="C1049" s="247" t="s">
        <v>491</v>
      </c>
      <c r="D1049" s="247" t="s">
        <v>493</v>
      </c>
    </row>
    <row r="1050" spans="1:20" ht="15">
      <c r="A1050" s="164">
        <v>1</v>
      </c>
      <c r="B1050" s="164">
        <v>80</v>
      </c>
      <c r="C1050" s="164">
        <v>1600</v>
      </c>
      <c r="D1050" s="246" t="s">
        <v>494</v>
      </c>
      <c r="J1050" s="46">
        <f>0.0000032+0.0000001-J1048</f>
        <v>3.2031219541881393E-06</v>
      </c>
      <c r="K1050" s="46"/>
      <c r="L1050" s="21">
        <f>-LOG(J1050)</f>
        <v>5.494426525893569</v>
      </c>
      <c r="M1050" s="21"/>
      <c r="N1050" s="57">
        <f>14-L1050</f>
        <v>8.50557347410643</v>
      </c>
      <c r="O1050" s="46">
        <f>0.0000001-J1048</f>
        <v>3.121954188139714E-09</v>
      </c>
      <c r="P1050" s="46"/>
      <c r="Q1050" s="57">
        <f>-LOG(O1050)</f>
        <v>8.505573474106434</v>
      </c>
      <c r="R1050" s="21">
        <f>14-Q1050</f>
        <v>5.494426525893566</v>
      </c>
      <c r="T1050" s="21">
        <f>+J1050*O1050</f>
        <v>9.999999999999926E-15</v>
      </c>
    </row>
    <row r="1051" spans="1:4" ht="15">
      <c r="A1051" s="164">
        <v>6</v>
      </c>
      <c r="B1051" s="164">
        <v>6</v>
      </c>
      <c r="C1051" s="164">
        <v>2</v>
      </c>
      <c r="D1051" s="246" t="s">
        <v>495</v>
      </c>
    </row>
    <row r="1052" spans="1:11" ht="15">
      <c r="A1052" s="164">
        <f>+A1051*A1050</f>
        <v>6</v>
      </c>
      <c r="B1052" s="164">
        <f>+B1051*B1050</f>
        <v>480</v>
      </c>
      <c r="C1052" s="164">
        <f>+C1051*C1050</f>
        <v>3200</v>
      </c>
      <c r="D1052" s="164">
        <f>SUM(A1052:C1052)</f>
        <v>3686</v>
      </c>
      <c r="I1052" s="15" t="s">
        <v>0</v>
      </c>
      <c r="J1052" s="35">
        <v>1</v>
      </c>
      <c r="K1052" s="35"/>
    </row>
    <row r="1053" spans="1:11" ht="15">
      <c r="A1053" s="169">
        <f>+A1052*100/$D$1052</f>
        <v>0.16277807921866522</v>
      </c>
      <c r="B1053" s="169">
        <f>+B1052*100/$D$1052</f>
        <v>13.022246337493218</v>
      </c>
      <c r="C1053" s="169">
        <f>+C1052*100/$D$1052</f>
        <v>86.81497558328812</v>
      </c>
      <c r="D1053" s="164">
        <f>SUM(A1053:C1053)</f>
        <v>100</v>
      </c>
      <c r="I1053" s="15" t="s">
        <v>2</v>
      </c>
      <c r="J1053" s="57">
        <v>-3.2E-06</v>
      </c>
      <c r="K1053" s="57"/>
    </row>
    <row r="1054" spans="9:11" ht="15">
      <c r="I1054" s="15" t="s">
        <v>4</v>
      </c>
      <c r="J1054" s="57">
        <v>1E-14</v>
      </c>
      <c r="K1054" s="57"/>
    </row>
    <row r="1055" spans="1:11" ht="15">
      <c r="A1055" s="319" t="s">
        <v>492</v>
      </c>
      <c r="B1055" s="319"/>
      <c r="C1055" s="319"/>
      <c r="D1055" s="319"/>
      <c r="I1055" s="15" t="s">
        <v>7</v>
      </c>
      <c r="J1055" s="21">
        <f>+(J1053^2)-4*J1052*J1054</f>
        <v>1.0199999999999998E-11</v>
      </c>
      <c r="K1055" s="21"/>
    </row>
    <row r="1056" spans="1:11" ht="15">
      <c r="A1056" s="247" t="s">
        <v>489</v>
      </c>
      <c r="B1056" s="247" t="s">
        <v>490</v>
      </c>
      <c r="C1056" s="247" t="s">
        <v>491</v>
      </c>
      <c r="D1056" s="247" t="s">
        <v>493</v>
      </c>
      <c r="I1056" s="15" t="s">
        <v>6</v>
      </c>
      <c r="J1056" s="21">
        <f>+SQRT(J1055)</f>
        <v>3.193743884534262E-06</v>
      </c>
      <c r="K1056" s="21"/>
    </row>
    <row r="1057" spans="1:14" ht="15">
      <c r="A1057" s="164">
        <v>1</v>
      </c>
      <c r="B1057" s="164">
        <v>3.8</v>
      </c>
      <c r="C1057" s="164">
        <v>5</v>
      </c>
      <c r="D1057" s="246" t="s">
        <v>494</v>
      </c>
      <c r="I1057" s="30" t="s">
        <v>8</v>
      </c>
      <c r="J1057" s="47">
        <f>+(-J1053+J1056)/(2*J1052)</f>
        <v>3.1968719422671312E-06</v>
      </c>
      <c r="K1057" s="47"/>
      <c r="L1057" s="21">
        <f>-LOG(J1057)</f>
        <v>5.495274760000011</v>
      </c>
      <c r="M1057" s="21"/>
      <c r="N1057" s="21">
        <f>14-L1057</f>
        <v>8.504725239999988</v>
      </c>
    </row>
    <row r="1058" spans="1:14" ht="15">
      <c r="A1058" s="164">
        <v>12</v>
      </c>
      <c r="B1058" s="164">
        <v>0</v>
      </c>
      <c r="C1058" s="164">
        <v>4</v>
      </c>
      <c r="D1058" s="246" t="s">
        <v>495</v>
      </c>
      <c r="I1058" s="30" t="s">
        <v>9</v>
      </c>
      <c r="J1058" s="45">
        <f>+(-J1053-J1056)/(2*J1052)</f>
        <v>3.1280577328688357E-09</v>
      </c>
      <c r="K1058" s="45"/>
      <c r="L1058" s="21">
        <f>-LOG(J1058)</f>
        <v>8.504725239999985</v>
      </c>
      <c r="M1058" s="21"/>
      <c r="N1058" s="21">
        <f>14-L1058</f>
        <v>5.495274760000015</v>
      </c>
    </row>
    <row r="1059" spans="1:4" ht="15">
      <c r="A1059" s="164">
        <f>+A1058*A1057</f>
        <v>12</v>
      </c>
      <c r="B1059" s="164">
        <f>+B1058*B1057</f>
        <v>0</v>
      </c>
      <c r="C1059" s="164">
        <f>+C1058*C1057</f>
        <v>20</v>
      </c>
      <c r="D1059" s="164">
        <f>SUM(A1059:C1059)</f>
        <v>32</v>
      </c>
    </row>
    <row r="1060" spans="1:20" ht="15">
      <c r="A1060" s="169">
        <f>+A1059*100/$D$1059</f>
        <v>37.5</v>
      </c>
      <c r="B1060" s="169">
        <f>+B1059*100/$D$1059</f>
        <v>0</v>
      </c>
      <c r="C1060" s="169">
        <f>+C1059*100/$D$1059</f>
        <v>62.5</v>
      </c>
      <c r="D1060" s="164">
        <f>SUM(A1060:C1060)</f>
        <v>100</v>
      </c>
      <c r="J1060" s="21">
        <f>0.0000001+0.0000001-J1058</f>
        <v>1.9687194226713116E-07</v>
      </c>
      <c r="K1060" s="21"/>
      <c r="L1060" s="21">
        <f>-LOG(J1060)</f>
        <v>6.70581617409464</v>
      </c>
      <c r="M1060" s="21"/>
      <c r="O1060" s="21">
        <f>0.0000001-J1058</f>
        <v>9.687194226713116E-08</v>
      </c>
      <c r="P1060" s="21"/>
      <c r="Q1060" s="21">
        <f>-LOG(O1060)</f>
        <v>7.013801992640164</v>
      </c>
      <c r="T1060" s="49">
        <f>+J1060*O1060</f>
        <v>1.9071367425319508E-14</v>
      </c>
    </row>
    <row r="1062" spans="1:11" ht="15">
      <c r="A1062" s="319" t="s">
        <v>496</v>
      </c>
      <c r="B1062" s="319"/>
      <c r="C1062" s="319"/>
      <c r="D1062" s="319"/>
      <c r="I1062" s="15" t="s">
        <v>0</v>
      </c>
      <c r="J1062" s="35">
        <v>1</v>
      </c>
      <c r="K1062" s="35"/>
    </row>
    <row r="1063" spans="1:14" ht="15">
      <c r="A1063" s="247" t="s">
        <v>489</v>
      </c>
      <c r="B1063" s="247" t="s">
        <v>490</v>
      </c>
      <c r="C1063" s="247" t="s">
        <v>491</v>
      </c>
      <c r="D1063" s="247" t="s">
        <v>493</v>
      </c>
      <c r="I1063" s="15" t="s">
        <v>2</v>
      </c>
      <c r="J1063" s="57">
        <v>8E-09</v>
      </c>
      <c r="K1063" s="57"/>
      <c r="L1063" s="21">
        <f>-LOG(J1063)</f>
        <v>8.096910013008056</v>
      </c>
      <c r="M1063" s="21"/>
      <c r="N1063" s="21">
        <f>14-L1063</f>
        <v>5.903089986991944</v>
      </c>
    </row>
    <row r="1064" spans="1:11" ht="15">
      <c r="A1064" s="164">
        <v>1</v>
      </c>
      <c r="B1064" s="164">
        <v>3.8</v>
      </c>
      <c r="C1064" s="164">
        <v>5</v>
      </c>
      <c r="D1064" s="246" t="s">
        <v>494</v>
      </c>
      <c r="I1064" s="15" t="s">
        <v>4</v>
      </c>
      <c r="J1064" s="57">
        <v>-1E-14</v>
      </c>
      <c r="K1064" s="57"/>
    </row>
    <row r="1065" spans="1:11" ht="15">
      <c r="A1065" s="164">
        <v>6</v>
      </c>
      <c r="B1065" s="164">
        <v>4</v>
      </c>
      <c r="C1065" s="164">
        <v>0</v>
      </c>
      <c r="D1065" s="246" t="s">
        <v>495</v>
      </c>
      <c r="I1065" s="15" t="s">
        <v>7</v>
      </c>
      <c r="J1065" s="21">
        <f>+(J1063^2)-4*J1062*J1064</f>
        <v>4.0064E-14</v>
      </c>
      <c r="K1065" s="21"/>
    </row>
    <row r="1066" spans="1:11" ht="15">
      <c r="A1066" s="164">
        <f>+A1065*A1064</f>
        <v>6</v>
      </c>
      <c r="B1066" s="164">
        <f>+B1065*B1064</f>
        <v>15.2</v>
      </c>
      <c r="C1066" s="164">
        <f>+C1065*C1064</f>
        <v>0</v>
      </c>
      <c r="D1066" s="164">
        <f>SUM(A1066:C1066)</f>
        <v>21.2</v>
      </c>
      <c r="I1066" s="15" t="s">
        <v>6</v>
      </c>
      <c r="J1066" s="21">
        <f>+SQRT(J1065)</f>
        <v>2.0015993605114887E-07</v>
      </c>
      <c r="K1066" s="21"/>
    </row>
    <row r="1067" spans="1:13" ht="15">
      <c r="A1067" s="169">
        <f>+A1066*100/$D$1066</f>
        <v>28.30188679245283</v>
      </c>
      <c r="B1067" s="169">
        <f>+B1066*100/$D$1066</f>
        <v>71.69811320754717</v>
      </c>
      <c r="C1067" s="169">
        <f>+C1066*100/$D$1066</f>
        <v>0</v>
      </c>
      <c r="D1067" s="164">
        <f>SUM(A1067:C1067)</f>
        <v>100</v>
      </c>
      <c r="I1067" s="30" t="s">
        <v>8</v>
      </c>
      <c r="J1067" s="50">
        <f>+(-J1063+J1066)/(2*J1062)</f>
        <v>9.607996802557444E-08</v>
      </c>
      <c r="K1067" s="50"/>
      <c r="L1067" s="46">
        <f>-LOG(J1067)</f>
        <v>7.017367150133865</v>
      </c>
      <c r="M1067" s="46"/>
    </row>
    <row r="1068" spans="9:13" ht="15">
      <c r="I1068" s="30" t="s">
        <v>9</v>
      </c>
      <c r="J1068" s="21">
        <f>+(-J1063-J1066)/(2*J1062)</f>
        <v>-1.0407996802557443E-07</v>
      </c>
      <c r="K1068" s="21"/>
      <c r="L1068" s="21"/>
      <c r="M1068" s="21"/>
    </row>
    <row r="1069" spans="1:8" ht="15">
      <c r="A1069" s="164"/>
      <c r="B1069" s="164"/>
      <c r="C1069" s="247" t="s">
        <v>10</v>
      </c>
      <c r="D1069" s="136">
        <v>0.2</v>
      </c>
      <c r="E1069" s="246"/>
      <c r="F1069" s="246"/>
      <c r="G1069" s="246"/>
      <c r="H1069" s="246"/>
    </row>
    <row r="1070" spans="1:14" ht="15">
      <c r="A1070" s="246" t="s">
        <v>497</v>
      </c>
      <c r="B1070" s="247" t="s">
        <v>498</v>
      </c>
      <c r="C1070" s="247">
        <v>0</v>
      </c>
      <c r="D1070" s="248">
        <v>5</v>
      </c>
      <c r="E1070" s="247">
        <v>12.5</v>
      </c>
      <c r="F1070" s="248">
        <v>20</v>
      </c>
      <c r="G1070" s="248">
        <v>25</v>
      </c>
      <c r="H1070" s="248">
        <v>37.5</v>
      </c>
      <c r="J1070" s="21">
        <f>+J1067+J1063</f>
        <v>1.0407996802557445E-07</v>
      </c>
      <c r="K1070" s="21"/>
      <c r="L1070" s="21">
        <f>-LOG(J1070)</f>
        <v>6.9826328498661345</v>
      </c>
      <c r="M1070" s="21"/>
      <c r="N1070" s="46">
        <f>14-L1070</f>
        <v>7.0173671501338655</v>
      </c>
    </row>
    <row r="1071" spans="1:9" ht="15">
      <c r="A1071" s="249">
        <v>0.0069</v>
      </c>
      <c r="B1071" s="245">
        <v>0.05</v>
      </c>
      <c r="C1071" s="250">
        <f>+SQRT(0.00000000000001/A1073*B1073)</f>
        <v>0.007216878364870323</v>
      </c>
      <c r="D1071" s="250">
        <f>+D1070*$D$1069/1000</f>
        <v>0.001</v>
      </c>
      <c r="E1071" s="250">
        <f>7.5*$D$1069/1000</f>
        <v>0.0015</v>
      </c>
      <c r="F1071" s="250">
        <f>7.5*$D$1069/1000</f>
        <v>0.0015</v>
      </c>
      <c r="G1071" s="250">
        <f>+D1070*$D$1069/1000</f>
        <v>0.001</v>
      </c>
      <c r="H1071" s="250">
        <f>E1070*$D$1069/1000</f>
        <v>0.0025</v>
      </c>
      <c r="I1071" s="244"/>
    </row>
    <row r="1072" spans="1:8" ht="15">
      <c r="A1072" s="249">
        <v>6.2E-08</v>
      </c>
      <c r="B1072" s="238">
        <v>50</v>
      </c>
      <c r="C1072" s="139">
        <f>-LOG10(C1071)</f>
        <v>2.1416506143517746</v>
      </c>
      <c r="D1072" s="250">
        <f>+B1073*D1071</f>
        <v>2.5E-06</v>
      </c>
      <c r="E1072" s="250">
        <f>+SQRT(A1072*A1071)</f>
        <v>2.068332661831747E-05</v>
      </c>
      <c r="F1072" s="250">
        <f>+B1073-F1071</f>
        <v>0.001</v>
      </c>
      <c r="G1072" s="250">
        <f>+SQRT(A1072*A1073)</f>
        <v>1.725108692227826E-10</v>
      </c>
      <c r="H1072" s="250">
        <f>+H1071*1000/(H1070+B1072)</f>
        <v>0.02857142857142857</v>
      </c>
    </row>
    <row r="1073" spans="1:8" ht="15">
      <c r="A1073" s="249">
        <v>4.8E-13</v>
      </c>
      <c r="B1073" s="250">
        <f>+B1072*B1071/1000</f>
        <v>0.0025</v>
      </c>
      <c r="D1073" s="250">
        <f>+A1073*D1071/D1072</f>
        <v>1.9199999999999998E-10</v>
      </c>
      <c r="E1073" s="139">
        <f>-LOG10(E1072)</f>
        <v>4.684379609882245</v>
      </c>
      <c r="F1073" s="250">
        <f>+A1072*F1071/F1072</f>
        <v>9.3E-08</v>
      </c>
      <c r="G1073" s="139">
        <f>-LOG10(G1072)</f>
        <v>9.76318353656308</v>
      </c>
      <c r="H1073" s="250">
        <f>+SQRT(A1071*H1072)</f>
        <v>0.014040757000349274</v>
      </c>
    </row>
    <row r="1074" spans="1:14" ht="15">
      <c r="A1074" s="164"/>
      <c r="B1074" s="164"/>
      <c r="C1074" s="251">
        <f>14-C1072</f>
        <v>11.858349385648225</v>
      </c>
      <c r="D1074" s="251">
        <f>-LOG10(D1073)</f>
        <v>9.71669877129645</v>
      </c>
      <c r="E1074" s="251">
        <f>14-E1073</f>
        <v>9.315620390117754</v>
      </c>
      <c r="F1074" s="251">
        <f>-LOG10(F1073)</f>
        <v>7.031517051446065</v>
      </c>
      <c r="G1074" s="251">
        <f>14-G1073</f>
        <v>4.23681646343692</v>
      </c>
      <c r="H1074" s="251">
        <f>-LOG10(H1073)</f>
        <v>1.8526094768065102</v>
      </c>
      <c r="I1074" s="20">
        <f>0.4^3</f>
        <v>0.06400000000000002</v>
      </c>
      <c r="L1074" s="35">
        <f>0.09*I1077</f>
        <v>0.15360000000000004</v>
      </c>
      <c r="M1074" s="35"/>
      <c r="N1074" s="32">
        <f>-27+L1077</f>
        <v>-33.82666666666667</v>
      </c>
    </row>
    <row r="1075" spans="9:14" ht="15">
      <c r="I1075" s="20">
        <v>0.15</v>
      </c>
      <c r="L1075" s="42">
        <f>-0.96*I1077</f>
        <v>-1.6384000000000005</v>
      </c>
      <c r="M1075" s="42"/>
      <c r="N1075" s="32">
        <f>-13.5+L1076</f>
        <v>-7.697333333333332</v>
      </c>
    </row>
    <row r="1076" spans="9:14" ht="15">
      <c r="I1076" s="20">
        <f>0.5^2</f>
        <v>0.25</v>
      </c>
      <c r="L1076" s="42">
        <f>3.4*I1077</f>
        <v>5.802666666666668</v>
      </c>
      <c r="M1076" s="42"/>
      <c r="N1076" s="32">
        <f>-2.25+L1075</f>
        <v>-3.8884000000000007</v>
      </c>
    </row>
    <row r="1077" spans="1:14" ht="15">
      <c r="A1077" s="35">
        <v>1</v>
      </c>
      <c r="I1077" s="35">
        <f>+I1074/I1075/I1076</f>
        <v>1.7066666666666672</v>
      </c>
      <c r="L1077" s="42">
        <f>-4*I1077</f>
        <v>-6.826666666666669</v>
      </c>
      <c r="M1077" s="42"/>
      <c r="N1077" s="32">
        <f>-1.25+L1074</f>
        <v>-1.0964</v>
      </c>
    </row>
    <row r="1078" ht="15">
      <c r="A1078" s="57">
        <v>0.0002</v>
      </c>
    </row>
    <row r="1079" spans="1:18" ht="15">
      <c r="A1079" s="57">
        <v>-1E-07</v>
      </c>
      <c r="I1079" s="20">
        <f>0.5^3</f>
        <v>0.125</v>
      </c>
      <c r="N1079" s="98">
        <v>0.00725</v>
      </c>
      <c r="O1079" s="42">
        <f>0.5+3*N1079</f>
        <v>0.52175</v>
      </c>
      <c r="P1079" s="42"/>
      <c r="Q1079" s="51" t="s">
        <v>60</v>
      </c>
      <c r="R1079" s="32">
        <f>+O1079^3</f>
        <v>0.14203238285937506</v>
      </c>
    </row>
    <row r="1080" spans="1:18" ht="15">
      <c r="A1080" s="21">
        <f>+(A1078^2)-4*A1077*A1079</f>
        <v>4.3999999999999997E-07</v>
      </c>
      <c r="I1080" s="20">
        <v>0.25</v>
      </c>
      <c r="O1080" s="42">
        <f>0.25-N1079</f>
        <v>0.24275</v>
      </c>
      <c r="P1080" s="42"/>
      <c r="Q1080" s="51" t="s">
        <v>58</v>
      </c>
      <c r="R1080" s="35">
        <f>O1080</f>
        <v>0.24275</v>
      </c>
    </row>
    <row r="1081" spans="1:18" ht="15">
      <c r="A1081" s="21">
        <f>+SQRT(A1080)</f>
        <v>0.0006633249580710799</v>
      </c>
      <c r="I1081" s="20">
        <f>0.6^2</f>
        <v>0.36</v>
      </c>
      <c r="O1081" s="42">
        <f>0.6-2*N1079</f>
        <v>0.5855</v>
      </c>
      <c r="P1081" s="42"/>
      <c r="Q1081" s="51" t="s">
        <v>59</v>
      </c>
      <c r="R1081" s="35">
        <f>+O1081^2</f>
        <v>0.34281025000000004</v>
      </c>
    </row>
    <row r="1082" spans="1:18" ht="15">
      <c r="A1082" s="50">
        <f>+(-A1078+A1081)/(2*A1077)</f>
        <v>0.00023166247903553996</v>
      </c>
      <c r="B1082" s="42">
        <f>-LOG10(A1082)</f>
        <v>3.63514430055341</v>
      </c>
      <c r="C1082" s="42">
        <f>14-B1082</f>
        <v>10.36485569944659</v>
      </c>
      <c r="I1082" s="42">
        <f>+I1079/I1080/I1081</f>
        <v>1.3888888888888888</v>
      </c>
      <c r="R1082" s="35">
        <f>+R1079/R1080/R1081</f>
        <v>1.7067673872776878</v>
      </c>
    </row>
    <row r="1083" spans="1:14" ht="15">
      <c r="A1083" s="21">
        <f>+(-A1078-A1081)/(2*A1077)</f>
        <v>-0.00043166247903553994</v>
      </c>
      <c r="C1083" s="42"/>
      <c r="N1083" s="98">
        <v>-0.001216</v>
      </c>
    </row>
    <row r="1085" spans="1:3" ht="15">
      <c r="A1085" s="21">
        <f>+A1082+0.0000001</f>
        <v>0.00023176247903553996</v>
      </c>
      <c r="B1085" s="42">
        <f>-LOG10(A1085)</f>
        <v>3.6349568723706676</v>
      </c>
      <c r="C1085" s="42">
        <f>14-B1085</f>
        <v>10.365043127629333</v>
      </c>
    </row>
    <row r="1086" spans="9:18" ht="15">
      <c r="I1086" s="15" t="s">
        <v>0</v>
      </c>
      <c r="J1086" s="35">
        <v>4</v>
      </c>
      <c r="K1086" s="35"/>
      <c r="N1086" s="57">
        <v>0.0011</v>
      </c>
      <c r="O1086" s="51" t="s">
        <v>194</v>
      </c>
      <c r="P1086" s="51"/>
      <c r="Q1086" s="57">
        <f>0.063-J1091</f>
        <v>0.064779300113579</v>
      </c>
      <c r="R1086" s="57">
        <f>Q1086</f>
        <v>0.064779300113579</v>
      </c>
    </row>
    <row r="1087" spans="9:18" ht="15">
      <c r="I1087" s="15" t="s">
        <v>2</v>
      </c>
      <c r="J1087" s="57">
        <f>N1090</f>
        <v>0.0491</v>
      </c>
      <c r="K1087" s="57"/>
      <c r="N1087" s="57">
        <f>+N1086*0.063</f>
        <v>6.93E-05</v>
      </c>
      <c r="O1087" s="51" t="s">
        <v>195</v>
      </c>
      <c r="P1087" s="51"/>
      <c r="Q1087" s="57">
        <f>0.012+2*J1091</f>
        <v>0.008441399772841996</v>
      </c>
      <c r="R1087" s="57">
        <f>+Q1087^2</f>
        <v>7.12572301249369E-05</v>
      </c>
    </row>
    <row r="1088" spans="9:18" ht="15">
      <c r="I1088" s="15" t="s">
        <v>4</v>
      </c>
      <c r="J1088" s="57">
        <f>N1091</f>
        <v>7.47E-05</v>
      </c>
      <c r="K1088" s="57"/>
      <c r="N1088" s="57">
        <f>0.012^2</f>
        <v>0.000144</v>
      </c>
      <c r="Q1088" s="57">
        <f>+Q1087^2/Q1086</f>
        <v>0.0010999999999999998</v>
      </c>
      <c r="R1088" s="21">
        <f>+R1087/R1086</f>
        <v>0.0010999999999999998</v>
      </c>
    </row>
    <row r="1089" spans="9:14" ht="15">
      <c r="I1089" s="15" t="s">
        <v>7</v>
      </c>
      <c r="J1089" s="21">
        <f>+(J1087^2)-4*J1086*J1088</f>
        <v>0.0012156099999999998</v>
      </c>
      <c r="K1089" s="21"/>
      <c r="N1089" s="57">
        <f>4*0.012</f>
        <v>0.048</v>
      </c>
    </row>
    <row r="1090" spans="1:14" ht="15">
      <c r="A1090" s="51" t="s">
        <v>503</v>
      </c>
      <c r="B1090" s="51" t="s">
        <v>504</v>
      </c>
      <c r="D1090" s="20">
        <f>+LOG10(B1092/A1092)</f>
        <v>-1.6989700043360187</v>
      </c>
      <c r="I1090" s="15" t="s">
        <v>6</v>
      </c>
      <c r="J1090" s="21">
        <f>+SQRT(J1089)</f>
        <v>0.03486559909136798</v>
      </c>
      <c r="K1090" s="21"/>
      <c r="N1090" s="57">
        <f>+N1089+N1086</f>
        <v>0.0491</v>
      </c>
    </row>
    <row r="1091" spans="1:14" ht="15">
      <c r="A1091" s="20">
        <v>-0.762</v>
      </c>
      <c r="B1091" s="20">
        <v>-0.762</v>
      </c>
      <c r="I1091" s="30" t="s">
        <v>8</v>
      </c>
      <c r="J1091" s="50">
        <f>+(-J1087+J1090)/(2*J1086)</f>
        <v>-0.0017793001135790023</v>
      </c>
      <c r="K1091" s="50"/>
      <c r="N1091" s="57">
        <f>+N1088-N1087</f>
        <v>7.47E-05</v>
      </c>
    </row>
    <row r="1092" spans="1:11" ht="15">
      <c r="A1092" s="20">
        <v>0.5</v>
      </c>
      <c r="B1092" s="20">
        <v>0.01</v>
      </c>
      <c r="I1092" s="30" t="s">
        <v>9</v>
      </c>
      <c r="J1092" s="21">
        <f>+(-J1087-J1090)/(2*J1086)</f>
        <v>-0.010495699886420996</v>
      </c>
      <c r="K1092" s="21"/>
    </row>
    <row r="1093" spans="1:2" ht="15">
      <c r="A1093" s="20">
        <f>+LOG10(A1092)</f>
        <v>-0.3010299956639812</v>
      </c>
      <c r="B1093" s="20">
        <f>+LOG10(B1092)</f>
        <v>-2</v>
      </c>
    </row>
    <row r="1094" spans="1:14" ht="15">
      <c r="A1094" s="20">
        <f>0.0592/2*A1093</f>
        <v>-0.008910487871653845</v>
      </c>
      <c r="B1094" s="20">
        <f>0.0592/2*B1093</f>
        <v>-0.0592</v>
      </c>
      <c r="N1094" s="57">
        <f>-N1089-N1086</f>
        <v>-0.0491</v>
      </c>
    </row>
    <row r="1095" spans="1:4" ht="15">
      <c r="A1095" s="35">
        <f>+A1091+A1094</f>
        <v>-0.7709104878716538</v>
      </c>
      <c r="B1095" s="35">
        <f>+B1091+B1094</f>
        <v>-0.8212</v>
      </c>
      <c r="C1095" s="54">
        <f>+A1095-B1095</f>
        <v>0.0502895121283462</v>
      </c>
      <c r="D1095" s="54">
        <f>-0.0592/2*D1090</f>
        <v>0.050289512128346155</v>
      </c>
    </row>
    <row r="1096" spans="9:17" ht="15">
      <c r="I1096" s="15" t="s">
        <v>0</v>
      </c>
      <c r="J1096" s="35">
        <v>1</v>
      </c>
      <c r="K1096" s="35"/>
      <c r="N1096" s="51" t="s">
        <v>77</v>
      </c>
      <c r="O1096" s="8">
        <v>0.1</v>
      </c>
      <c r="P1096" s="8"/>
      <c r="Q1096" s="57">
        <f>+O1096-$J$1101</f>
        <v>0.09999999999</v>
      </c>
    </row>
    <row r="1097" spans="1:17" ht="15">
      <c r="A1097" s="51" t="s">
        <v>503</v>
      </c>
      <c r="B1097" s="51" t="s">
        <v>504</v>
      </c>
      <c r="D1097" s="35">
        <f>+LOG10(B1099/A1099)</f>
        <v>-0.2218487496163564</v>
      </c>
      <c r="I1097" s="15" t="s">
        <v>2</v>
      </c>
      <c r="J1097" s="57">
        <v>0.001</v>
      </c>
      <c r="K1097" s="57"/>
      <c r="N1097" s="51" t="s">
        <v>65</v>
      </c>
      <c r="O1097" s="8">
        <v>0.1</v>
      </c>
      <c r="P1097" s="8"/>
      <c r="Q1097" s="57">
        <f>+O1097+$J$1101</f>
        <v>0.10000000001</v>
      </c>
    </row>
    <row r="1098" spans="1:17" ht="15">
      <c r="A1098" s="20">
        <v>-0.26</v>
      </c>
      <c r="B1098" s="20">
        <v>-0.26</v>
      </c>
      <c r="I1098" s="15" t="s">
        <v>4</v>
      </c>
      <c r="J1098" s="57">
        <v>-1E-14</v>
      </c>
      <c r="K1098" s="57"/>
      <c r="N1098" s="51" t="s">
        <v>54</v>
      </c>
      <c r="O1098" s="8">
        <v>0.1</v>
      </c>
      <c r="P1098" s="8"/>
      <c r="Q1098" s="57">
        <f>+O1098+$J$1101</f>
        <v>0.10000000001</v>
      </c>
    </row>
    <row r="1099" spans="1:16" ht="15">
      <c r="A1099" s="20">
        <v>0.1</v>
      </c>
      <c r="B1099" s="20">
        <v>0.06</v>
      </c>
      <c r="I1099" s="15" t="s">
        <v>7</v>
      </c>
      <c r="J1099" s="21">
        <f>+(J1097^2)-4*J1096*J1098</f>
        <v>1.0000000399999999E-06</v>
      </c>
      <c r="K1099" s="21"/>
      <c r="N1099" s="51" t="s">
        <v>196</v>
      </c>
      <c r="O1099" s="8">
        <f>+O1097*O1098/O1096</f>
        <v>0.10000000000000002</v>
      </c>
      <c r="P1099" s="8"/>
    </row>
    <row r="1100" spans="1:16" ht="15">
      <c r="A1100" s="20">
        <f>+LOG10(A1099)</f>
        <v>-1</v>
      </c>
      <c r="B1100" s="20">
        <f>+LOG10(B1099)</f>
        <v>-1.2218487496163564</v>
      </c>
      <c r="I1100" s="15" t="s">
        <v>6</v>
      </c>
      <c r="J1100" s="21">
        <f>+SQRT(J1099)</f>
        <v>0.0010000000199999997</v>
      </c>
      <c r="K1100" s="21"/>
      <c r="N1100" s="51" t="s">
        <v>29</v>
      </c>
      <c r="O1100" s="8">
        <v>0.02</v>
      </c>
      <c r="P1100" s="8"/>
    </row>
    <row r="1101" spans="1:11" ht="15">
      <c r="A1101" s="20">
        <f>0.05916/2*A1100</f>
        <v>-0.02958</v>
      </c>
      <c r="B1101" s="20">
        <f>0.05916/2*B1100</f>
        <v>-0.03614228601365182</v>
      </c>
      <c r="I1101" s="30" t="s">
        <v>8</v>
      </c>
      <c r="J1101" s="50">
        <f>+(-J1097+J1100)/(2*J1096)</f>
        <v>9.999999851621755E-12</v>
      </c>
      <c r="K1101" s="50"/>
    </row>
    <row r="1102" spans="1:11" ht="15">
      <c r="A1102" s="35">
        <f>+A1098+A1101</f>
        <v>-0.28958</v>
      </c>
      <c r="B1102" s="35">
        <f>+B1098+B1101</f>
        <v>-0.29614228601365183</v>
      </c>
      <c r="C1102" s="65">
        <f>+A1102-B1102</f>
        <v>0.00656228601365183</v>
      </c>
      <c r="D1102" s="65">
        <f>-0.05916/2*D1097</f>
        <v>0.0065622860136518215</v>
      </c>
      <c r="I1102" s="30" t="s">
        <v>9</v>
      </c>
      <c r="J1102" s="21">
        <f>+(-J1097-J1100)/(2*J1096)</f>
        <v>-0.00100000001</v>
      </c>
      <c r="K1102" s="21"/>
    </row>
    <row r="1104" spans="10:22" ht="15">
      <c r="J1104" s="99">
        <v>8</v>
      </c>
      <c r="K1104" s="99"/>
      <c r="L1104" s="99">
        <v>10</v>
      </c>
      <c r="M1104" s="99"/>
      <c r="N1104" s="99">
        <v>25</v>
      </c>
      <c r="O1104" s="99">
        <v>30</v>
      </c>
      <c r="P1104" s="99"/>
      <c r="Q1104" s="99">
        <v>32</v>
      </c>
      <c r="R1104" s="99">
        <v>45</v>
      </c>
      <c r="T1104" s="35">
        <f>0.01/0.065</f>
        <v>0.15384615384615385</v>
      </c>
      <c r="U1104" s="62">
        <f>+T1104*0.001</f>
        <v>0.00015384615384615385</v>
      </c>
      <c r="V1104" s="35">
        <v>1</v>
      </c>
    </row>
    <row r="1105" spans="1:22" ht="15">
      <c r="A1105" s="21">
        <v>4.5E-07</v>
      </c>
      <c r="B1105" s="21">
        <f>+SQRT((A1109*A1107)+A1108)</f>
        <v>0.00031622778182822584</v>
      </c>
      <c r="I1105" s="57">
        <v>0.1</v>
      </c>
      <c r="J1105" s="21">
        <f>0.5*0.02</f>
        <v>0.01</v>
      </c>
      <c r="K1105" s="21"/>
      <c r="L1105" s="57">
        <f>+J1106+J1107</f>
        <v>0.01</v>
      </c>
      <c r="M1105" s="57"/>
      <c r="N1105" s="57">
        <f>L1105</f>
        <v>0.01</v>
      </c>
      <c r="Q1105" s="57">
        <v>0.01</v>
      </c>
      <c r="T1105" s="32">
        <f>0.005/0.065</f>
        <v>0.07692307692307693</v>
      </c>
      <c r="U1105" s="32">
        <f>+T1105+0.001</f>
        <v>0.07792307692307693</v>
      </c>
      <c r="V1105" s="57">
        <f>U1105</f>
        <v>0.07792307692307693</v>
      </c>
    </row>
    <row r="1106" spans="1:22" ht="15">
      <c r="A1106" s="21">
        <v>5E-11</v>
      </c>
      <c r="B1106" s="44">
        <f>-LOG10(B1105)</f>
        <v>3.499999978285277</v>
      </c>
      <c r="I1106" s="57">
        <v>1E-05</v>
      </c>
      <c r="J1106" s="21">
        <f>1*0.008</f>
        <v>0.008</v>
      </c>
      <c r="K1106" s="21"/>
      <c r="L1106" s="57">
        <f>+L1105/0.03</f>
        <v>0.33333333333333337</v>
      </c>
      <c r="M1106" s="57"/>
      <c r="N1106" s="57">
        <f>1*0.015</f>
        <v>0.015</v>
      </c>
      <c r="Q1106" s="57">
        <f>1*0.002</f>
        <v>0.002</v>
      </c>
      <c r="R1106" s="57"/>
      <c r="V1106" s="57">
        <f>-U1104</f>
        <v>-0.00015384615384615385</v>
      </c>
    </row>
    <row r="1107" spans="1:22" ht="15">
      <c r="A1107" s="21">
        <v>0.0005</v>
      </c>
      <c r="B1107" s="44">
        <f>14-B1106</f>
        <v>10.500000021714722</v>
      </c>
      <c r="I1107" s="57">
        <v>1E-08</v>
      </c>
      <c r="J1107" s="21">
        <f>+J1105-J1106</f>
        <v>0.002</v>
      </c>
      <c r="K1107" s="21"/>
      <c r="Q1107" s="57">
        <f>+Q1105-Q1106</f>
        <v>0.008</v>
      </c>
      <c r="R1107" s="57"/>
      <c r="V1107" s="21">
        <f>+(V1105^2)-4*V1104*V1106</f>
        <v>0.00668739053254438</v>
      </c>
    </row>
    <row r="1108" spans="1:22" ht="15">
      <c r="A1108" s="21">
        <v>1E-14</v>
      </c>
      <c r="I1108" s="57">
        <v>1E-11</v>
      </c>
      <c r="J1108" s="21">
        <f>+I1105*J1107/J1106</f>
        <v>0.025</v>
      </c>
      <c r="K1108" s="21"/>
      <c r="L1108" s="57">
        <f>+SQRT(I1105*I1106)</f>
        <v>0.001</v>
      </c>
      <c r="M1108" s="57"/>
      <c r="N1108" s="57"/>
      <c r="O1108" s="57">
        <f>+SQRT(I1107*I1108)</f>
        <v>3.1622776601683795E-10</v>
      </c>
      <c r="P1108" s="57"/>
      <c r="Q1108" s="57">
        <f>+I1108*Q1107/Q1106</f>
        <v>4E-11</v>
      </c>
      <c r="R1108" s="57">
        <f>T1105</f>
        <v>0.07692307692307693</v>
      </c>
      <c r="V1108" s="21">
        <f>+SQRT(V1107)</f>
        <v>0.08177646686268844</v>
      </c>
    </row>
    <row r="1109" spans="1:25" ht="15">
      <c r="A1109" s="21">
        <f>+A1108/A1106</f>
        <v>0.00019999999999999998</v>
      </c>
      <c r="J1109" s="73">
        <f>-LOG(J1108)</f>
        <v>1.6020599913279623</v>
      </c>
      <c r="K1109" s="73"/>
      <c r="L1109" s="73">
        <f>-LOG(L1108)</f>
        <v>3</v>
      </c>
      <c r="M1109" s="73"/>
      <c r="N1109" s="73">
        <f>-LOG(I1107)</f>
        <v>8</v>
      </c>
      <c r="O1109" s="73">
        <f>-LOG(O1108)</f>
        <v>9.5</v>
      </c>
      <c r="P1109" s="73"/>
      <c r="Q1109" s="73">
        <f>-LOG(Q1108)</f>
        <v>10.397940008672037</v>
      </c>
      <c r="R1109" s="54">
        <f>14-(-LOG(R1108))</f>
        <v>12.886056647693163</v>
      </c>
      <c r="V1109" s="50">
        <f>+(-V1105+V1108)/(2*V1104)</f>
        <v>0.0019266949698057562</v>
      </c>
      <c r="W1109" s="32">
        <f>+V1109+T1105</f>
        <v>0.07884977189288268</v>
      </c>
      <c r="X1109" s="20">
        <f>-LOG10(W1109)</f>
        <v>1.1031995587181553</v>
      </c>
      <c r="Y1109" s="35">
        <f>14-X1109</f>
        <v>12.896800441281844</v>
      </c>
    </row>
    <row r="1110" spans="15:22" ht="15">
      <c r="O1110" s="58"/>
      <c r="P1110" s="58"/>
      <c r="R1110" s="73">
        <f>14-R1109</f>
        <v>1.113943352306837</v>
      </c>
      <c r="V1110" s="21">
        <f>+(-V1105-V1108)/(2*V1104)</f>
        <v>-0.07984977189288268</v>
      </c>
    </row>
    <row r="1111" spans="1:7" ht="15">
      <c r="A1111" s="254"/>
      <c r="B1111" s="255"/>
      <c r="C1111" s="255"/>
      <c r="D1111" s="255"/>
      <c r="E1111" s="255"/>
      <c r="F1111" s="255"/>
      <c r="G1111" s="256"/>
    </row>
    <row r="1112" spans="1:21" ht="15">
      <c r="A1112" s="257" t="s">
        <v>454</v>
      </c>
      <c r="B1112" s="109">
        <v>9.14</v>
      </c>
      <c r="C1112" s="203">
        <f>10^-B1112</f>
        <v>7.244359600749863E-10</v>
      </c>
      <c r="D1112" s="203"/>
      <c r="E1112" s="109"/>
      <c r="F1112" s="109"/>
      <c r="G1112" s="110"/>
      <c r="I1112" s="57">
        <v>0.1</v>
      </c>
      <c r="J1112" s="57">
        <f>+I1112-2*I1116</f>
        <v>0.03780000000000001</v>
      </c>
      <c r="K1112" s="57"/>
      <c r="L1112" s="21">
        <f>+J1112^2</f>
        <v>0.0014288400000000004</v>
      </c>
      <c r="M1112" s="21"/>
      <c r="N1112" s="50">
        <f>+L1114*L1115/L1112/L1113</f>
        <v>20.043371422289617</v>
      </c>
      <c r="O1112" s="57">
        <f>+J1112</f>
        <v>0.03780000000000001</v>
      </c>
      <c r="P1112" s="57"/>
      <c r="Q1112" s="21">
        <f>+O1112^2</f>
        <v>0.0014288400000000004</v>
      </c>
      <c r="R1112" s="21">
        <f>+Q1114*Q1115/Q1112/Q1113</f>
        <v>61.13592757072289</v>
      </c>
      <c r="S1112" s="57">
        <f>+O1112-2*O1116</f>
        <v>0.057800000000000004</v>
      </c>
      <c r="T1112" s="21">
        <f>+S1112^2</f>
        <v>0.0033408400000000003</v>
      </c>
      <c r="U1112" s="21">
        <f>+T1114*T1115/T1112/T1113</f>
        <v>0.01676150406897164</v>
      </c>
    </row>
    <row r="1113" spans="1:20" ht="15">
      <c r="A1113" s="257" t="s">
        <v>444</v>
      </c>
      <c r="B1113" s="109">
        <v>4.75</v>
      </c>
      <c r="C1113" s="203">
        <f>10^-B1113</f>
        <v>1.7782794100389215E-05</v>
      </c>
      <c r="D1113" s="203">
        <f>+C1114/C1113</f>
        <v>5.623413251903495E-10</v>
      </c>
      <c r="E1113" s="109"/>
      <c r="F1113" s="109"/>
      <c r="G1113" s="110"/>
      <c r="I1113" s="57">
        <v>0.2</v>
      </c>
      <c r="J1113" s="57">
        <f>+I1113-4*I1116</f>
        <v>0.07560000000000001</v>
      </c>
      <c r="K1113" s="57"/>
      <c r="L1113" s="21">
        <f>+J1113^4</f>
        <v>3.266533992960002E-05</v>
      </c>
      <c r="M1113" s="21"/>
      <c r="O1113" s="57">
        <f>+J1113</f>
        <v>0.07560000000000001</v>
      </c>
      <c r="P1113" s="57"/>
      <c r="Q1113" s="21">
        <f>+O1113^4</f>
        <v>3.266533992960002E-05</v>
      </c>
      <c r="S1113" s="57">
        <f>+O1113-4*O1116</f>
        <v>0.11560000000000001</v>
      </c>
      <c r="T1113" s="21">
        <f>+S1113^4</f>
        <v>0.00017857939048960005</v>
      </c>
    </row>
    <row r="1114" spans="1:20" ht="15">
      <c r="A1114" s="257"/>
      <c r="B1114" s="109">
        <f>14-B1113</f>
        <v>9.25</v>
      </c>
      <c r="C1114" s="203">
        <v>1E-14</v>
      </c>
      <c r="D1114" s="109">
        <f>+SQRT(D1113*0.02)</f>
        <v>3.353628856001658E-06</v>
      </c>
      <c r="E1114" s="109"/>
      <c r="F1114" s="109"/>
      <c r="G1114" s="110"/>
      <c r="I1114" s="57">
        <v>0</v>
      </c>
      <c r="J1114" s="57">
        <f>I1116</f>
        <v>0.0311</v>
      </c>
      <c r="K1114" s="57"/>
      <c r="L1114" s="21">
        <f>J1114</f>
        <v>0.0311</v>
      </c>
      <c r="M1114" s="21"/>
      <c r="O1114" s="57">
        <f>+J1114+0.01</f>
        <v>0.0411</v>
      </c>
      <c r="P1114" s="57"/>
      <c r="Q1114" s="21">
        <f>O1114</f>
        <v>0.0411</v>
      </c>
      <c r="S1114" s="57">
        <f>O1116</f>
        <v>-0.01</v>
      </c>
      <c r="T1114" s="21">
        <f>S1114</f>
        <v>-0.01</v>
      </c>
    </row>
    <row r="1115" spans="1:20" ht="15">
      <c r="A1115" s="257"/>
      <c r="B1115" s="203">
        <f>10^-B1114</f>
        <v>5.623413251903489E-10</v>
      </c>
      <c r="C1115" s="203">
        <f>+SQRT(C1114*C1112/C1113)</f>
        <v>6.382634861905472E-10</v>
      </c>
      <c r="D1115" s="106">
        <f>-LOG10(D1114)</f>
        <v>5.474485002168009</v>
      </c>
      <c r="E1115" s="109"/>
      <c r="F1115" s="109"/>
      <c r="G1115" s="110"/>
      <c r="I1115" s="57">
        <v>0</v>
      </c>
      <c r="J1115" s="57">
        <f>I1116</f>
        <v>0.0311</v>
      </c>
      <c r="K1115" s="57"/>
      <c r="L1115" s="21">
        <f>+J1115^3</f>
        <v>3.0080230999999995E-05</v>
      </c>
      <c r="M1115" s="21"/>
      <c r="O1115" s="57">
        <f>+J1115+0.01</f>
        <v>0.0411</v>
      </c>
      <c r="P1115" s="57"/>
      <c r="Q1115" s="21">
        <f>+O1115^3</f>
        <v>6.942653099999999E-05</v>
      </c>
      <c r="S1115" s="57">
        <f>O1116</f>
        <v>-0.01</v>
      </c>
      <c r="T1115" s="21">
        <f>+S1115^3</f>
        <v>-1.0000000000000002E-06</v>
      </c>
    </row>
    <row r="1116" spans="1:16" ht="15">
      <c r="A1116" s="257"/>
      <c r="B1116" s="109"/>
      <c r="C1116" s="106">
        <f>-LOG10(C1115)</f>
        <v>9.195</v>
      </c>
      <c r="D1116" s="109"/>
      <c r="E1116" s="109"/>
      <c r="F1116" s="109"/>
      <c r="G1116" s="110"/>
      <c r="I1116" s="20">
        <v>0.0311</v>
      </c>
      <c r="O1116" s="21">
        <v>-0.01</v>
      </c>
      <c r="P1116" s="21"/>
    </row>
    <row r="1117" spans="1:7" ht="15">
      <c r="A1117" s="257"/>
      <c r="B1117" s="109"/>
      <c r="C1117" s="109"/>
      <c r="D1117" s="109"/>
      <c r="E1117" s="109"/>
      <c r="F1117" s="109"/>
      <c r="G1117" s="110"/>
    </row>
    <row r="1118" spans="1:17" ht="15">
      <c r="A1118" s="257"/>
      <c r="B1118" s="112" t="s">
        <v>505</v>
      </c>
      <c r="C1118" s="108">
        <f>0.03/0.12</f>
        <v>0.25</v>
      </c>
      <c r="D1118" s="109">
        <f>+C1112*C1118</f>
        <v>1.8110899001874658E-10</v>
      </c>
      <c r="E1118" s="109" t="s">
        <v>507</v>
      </c>
      <c r="F1118" s="109"/>
      <c r="G1118" s="110"/>
      <c r="I1118" s="100" t="s">
        <v>30</v>
      </c>
      <c r="J1118" s="101" t="s">
        <v>32</v>
      </c>
      <c r="K1118" s="101"/>
      <c r="L1118" s="101" t="s">
        <v>11</v>
      </c>
      <c r="M1118" s="101"/>
      <c r="N1118" s="101" t="s">
        <v>41</v>
      </c>
      <c r="O1118" s="101" t="s">
        <v>56</v>
      </c>
      <c r="P1118" s="101"/>
      <c r="Q1118" s="102" t="s">
        <v>30</v>
      </c>
    </row>
    <row r="1119" spans="1:17" ht="15">
      <c r="A1119" s="257"/>
      <c r="B1119" s="112" t="s">
        <v>271</v>
      </c>
      <c r="C1119" s="105">
        <f>0.002/0.12</f>
        <v>0.016666666666666666</v>
      </c>
      <c r="D1119" s="109">
        <f>+B1115*C1119</f>
        <v>9.372355419839148E-12</v>
      </c>
      <c r="E1119" s="109" t="s">
        <v>508</v>
      </c>
      <c r="F1119" s="109"/>
      <c r="G1119" s="110"/>
      <c r="I1119" s="103">
        <f>0.969/5</f>
        <v>0.1938</v>
      </c>
      <c r="J1119" s="104">
        <f>+I1119/46</f>
        <v>0.00421304347826087</v>
      </c>
      <c r="K1119" s="104"/>
      <c r="L1119" s="105">
        <f>+J1119/J1121</f>
        <v>0.0891089108910891</v>
      </c>
      <c r="M1119" s="105"/>
      <c r="N1119" s="106">
        <v>1</v>
      </c>
      <c r="O1119" s="106">
        <f>+J1119*1000/N1119</f>
        <v>4.21304347826087</v>
      </c>
      <c r="P1119" s="106"/>
      <c r="Q1119" s="107">
        <f>+J1119*1000/I1120</f>
        <v>5.434782608695652</v>
      </c>
    </row>
    <row r="1120" spans="1:17" ht="15">
      <c r="A1120" s="257"/>
      <c r="B1120" s="320" t="s">
        <v>506</v>
      </c>
      <c r="C1120" s="109">
        <f>+SQRT(B1115*C1119)</f>
        <v>3.0614302898872527E-06</v>
      </c>
      <c r="D1120" s="203">
        <f>C1114</f>
        <v>1E-14</v>
      </c>
      <c r="E1120" s="109" t="s">
        <v>509</v>
      </c>
      <c r="F1120" s="109"/>
      <c r="G1120" s="110"/>
      <c r="I1120" s="103">
        <f>0.969*4/5</f>
        <v>0.7752</v>
      </c>
      <c r="J1120" s="105">
        <f>+I1120/18</f>
        <v>0.04306666666666667</v>
      </c>
      <c r="K1120" s="105"/>
      <c r="L1120" s="108">
        <f>+J1120/J1121</f>
        <v>0.9108910891089109</v>
      </c>
      <c r="M1120" s="108"/>
      <c r="N1120" s="108"/>
      <c r="O1120" s="109"/>
      <c r="P1120" s="109"/>
      <c r="Q1120" s="110"/>
    </row>
    <row r="1121" spans="1:17" ht="15">
      <c r="A1121" s="257"/>
      <c r="B1121" s="320"/>
      <c r="C1121" s="106">
        <f>-LOG10(C1120)</f>
        <v>5.514075625191822</v>
      </c>
      <c r="D1121" s="109">
        <f>SUM(D1118:D1120)</f>
        <v>1.9049134543858574E-10</v>
      </c>
      <c r="E1121" s="109" t="s">
        <v>511</v>
      </c>
      <c r="F1121" s="109"/>
      <c r="G1121" s="110"/>
      <c r="I1121" s="103">
        <f>SUM(I1119:I1120)</f>
        <v>0.969</v>
      </c>
      <c r="J1121" s="105">
        <f>SUM(J1119:J1120)</f>
        <v>0.04727971014492754</v>
      </c>
      <c r="K1121" s="105"/>
      <c r="L1121" s="106">
        <f>SUM(L1119:L1120)</f>
        <v>1</v>
      </c>
      <c r="M1121" s="106"/>
      <c r="N1121" s="109"/>
      <c r="O1121" s="109"/>
      <c r="P1121" s="109"/>
      <c r="Q1121" s="110"/>
    </row>
    <row r="1122" spans="1:17" ht="15">
      <c r="A1122" s="257"/>
      <c r="B1122" s="109"/>
      <c r="C1122" s="109"/>
      <c r="D1122" s="203">
        <f>+SQRT(D1121)</f>
        <v>1.3801860216600722E-05</v>
      </c>
      <c r="E1122" s="109" t="s">
        <v>510</v>
      </c>
      <c r="F1122" s="109"/>
      <c r="G1122" s="110"/>
      <c r="I1122" s="111" t="s">
        <v>30</v>
      </c>
      <c r="J1122" s="112" t="s">
        <v>32</v>
      </c>
      <c r="K1122" s="112"/>
      <c r="L1122" s="112" t="s">
        <v>11</v>
      </c>
      <c r="M1122" s="112"/>
      <c r="N1122" s="112" t="s">
        <v>41</v>
      </c>
      <c r="O1122" s="112" t="s">
        <v>56</v>
      </c>
      <c r="P1122" s="112"/>
      <c r="Q1122" s="113" t="s">
        <v>30</v>
      </c>
    </row>
    <row r="1123" spans="1:17" ht="15">
      <c r="A1123" s="257"/>
      <c r="B1123" s="109"/>
      <c r="C1123" s="109"/>
      <c r="D1123" s="252">
        <f>-LOG10(D1122)</f>
        <v>4.86006237538433</v>
      </c>
      <c r="E1123" s="253">
        <f>+(D1123-5)/D1123*100</f>
        <v>-2.8793380373971824</v>
      </c>
      <c r="F1123" s="109" t="s">
        <v>512</v>
      </c>
      <c r="G1123" s="110"/>
      <c r="I1123" s="103">
        <f>1/5</f>
        <v>0.2</v>
      </c>
      <c r="J1123" s="105">
        <f>I1123/46</f>
        <v>0.004347826086956522</v>
      </c>
      <c r="K1123" s="105"/>
      <c r="L1123" s="108">
        <f>+J1123/J1125</f>
        <v>0.0891089108910891</v>
      </c>
      <c r="M1123" s="108"/>
      <c r="N1123" s="106">
        <f>1/0.969</f>
        <v>1.0319917440660475</v>
      </c>
      <c r="O1123" s="106">
        <f>+J1123*1000/N1123</f>
        <v>4.213043478260869</v>
      </c>
      <c r="P1123" s="106"/>
      <c r="Q1123" s="107">
        <f>+J1123*1000/I1124</f>
        <v>5.434782608695651</v>
      </c>
    </row>
    <row r="1124" spans="1:17" ht="15">
      <c r="A1124" s="258"/>
      <c r="B1124" s="117"/>
      <c r="C1124" s="117"/>
      <c r="D1124" s="117"/>
      <c r="E1124" s="117"/>
      <c r="F1124" s="117"/>
      <c r="G1124" s="118"/>
      <c r="I1124" s="103">
        <f>1*4/5</f>
        <v>0.8</v>
      </c>
      <c r="J1124" s="108">
        <f>I1124/18</f>
        <v>0.044444444444444446</v>
      </c>
      <c r="K1124" s="108"/>
      <c r="L1124" s="106">
        <f>+J1124/J1125</f>
        <v>0.9108910891089108</v>
      </c>
      <c r="M1124" s="106"/>
      <c r="N1124" s="109"/>
      <c r="O1124" s="109"/>
      <c r="P1124" s="109"/>
      <c r="Q1124" s="110"/>
    </row>
    <row r="1125" spans="9:17" ht="15">
      <c r="I1125" s="114">
        <f>SUM(I1123:I1124)</f>
        <v>1</v>
      </c>
      <c r="J1125" s="115">
        <f>SUM(J1123:J1124)</f>
        <v>0.04879227053140097</v>
      </c>
      <c r="K1125" s="115"/>
      <c r="L1125" s="116">
        <f>SUM(L1123:L1124)</f>
        <v>0.9999999999999999</v>
      </c>
      <c r="M1125" s="116"/>
      <c r="N1125" s="117"/>
      <c r="O1125" s="117"/>
      <c r="P1125" s="117"/>
      <c r="Q1125" s="118"/>
    </row>
    <row r="1127" spans="1:2" ht="15">
      <c r="A1127" s="21">
        <v>3.7E-15</v>
      </c>
      <c r="B1127" s="21">
        <v>2E-13</v>
      </c>
    </row>
    <row r="1128" spans="1:17" ht="15">
      <c r="A1128" s="21">
        <f>+(A1127/27)^(1/4)</f>
        <v>0.0001081955726802818</v>
      </c>
      <c r="B1128" s="21">
        <f>+(B1127/4)^(1/3)</f>
        <v>3.684031498640391E-05</v>
      </c>
      <c r="I1128" s="119" t="s">
        <v>58</v>
      </c>
      <c r="J1128" s="44">
        <v>0.15</v>
      </c>
      <c r="K1128" s="43"/>
      <c r="L1128" s="32">
        <f>J1128</f>
        <v>0.15</v>
      </c>
      <c r="M1128" s="32"/>
      <c r="N1128" s="42">
        <f>+J1128+0.1</f>
        <v>0.25</v>
      </c>
      <c r="O1128" s="35">
        <f>+N1128-O1132</f>
        <v>0.25819</v>
      </c>
      <c r="P1128" s="35"/>
      <c r="Q1128" s="20">
        <f>O1128</f>
        <v>0.25819</v>
      </c>
    </row>
    <row r="1129" spans="1:17" ht="15">
      <c r="A1129" s="21">
        <f>+(A1127/0.00001)^(1/3)</f>
        <v>0.0007179054352068319</v>
      </c>
      <c r="B1129" s="21">
        <f>+SQRT(B1127/0.00001)</f>
        <v>0.0001414213562373095</v>
      </c>
      <c r="I1129" s="119" t="s">
        <v>204</v>
      </c>
      <c r="J1129" s="44">
        <v>0.5</v>
      </c>
      <c r="K1129" s="44"/>
      <c r="L1129" s="32">
        <f>+J1129^2</f>
        <v>0.25</v>
      </c>
      <c r="M1129" s="32"/>
      <c r="N1129" s="42">
        <f>+J1129+0.1</f>
        <v>0.6</v>
      </c>
      <c r="O1129" s="35">
        <f>+N1129-2*O1132</f>
        <v>0.6163799999999999</v>
      </c>
      <c r="P1129" s="35"/>
      <c r="Q1129" s="20">
        <f>+O1129^2</f>
        <v>0.3799243043999999</v>
      </c>
    </row>
    <row r="1130" spans="2:17" ht="15">
      <c r="B1130" s="21">
        <f>+B1127/A1129^2</f>
        <v>3.8805699200369295E-07</v>
      </c>
      <c r="I1130" s="119" t="s">
        <v>205</v>
      </c>
      <c r="J1130" s="44">
        <v>0.2</v>
      </c>
      <c r="K1130" s="44"/>
      <c r="L1130" s="32">
        <f>+J1130^3</f>
        <v>0.008000000000000002</v>
      </c>
      <c r="M1130" s="32"/>
      <c r="N1130" s="42">
        <f>+J1130+0.1</f>
        <v>0.30000000000000004</v>
      </c>
      <c r="O1130" s="42">
        <f>+N1130+3*O1132</f>
        <v>0.27543000000000006</v>
      </c>
      <c r="P1130" s="42"/>
      <c r="Q1130" s="20">
        <f>+O1130^3</f>
        <v>0.020894583872007013</v>
      </c>
    </row>
    <row r="1131" spans="12:17" ht="15">
      <c r="L1131" s="157">
        <f>+L1130/L1128/L1129</f>
        <v>0.2133333333333334</v>
      </c>
      <c r="M1131" s="120"/>
      <c r="N1131" s="121">
        <f>+N1130^3/N1128/N1129^2</f>
        <v>0.3000000000000001</v>
      </c>
      <c r="Q1131" s="157">
        <f>+Q1130/Q1128/Q1129</f>
        <v>0.21300864602350075</v>
      </c>
    </row>
    <row r="1132" spans="1:17" ht="15">
      <c r="A1132" s="35">
        <v>0.01</v>
      </c>
      <c r="C1132" s="35">
        <f>0.075*4</f>
        <v>0.3</v>
      </c>
      <c r="L1132" s="120" t="s">
        <v>29</v>
      </c>
      <c r="M1132" s="120"/>
      <c r="N1132" s="121" t="s">
        <v>196</v>
      </c>
      <c r="O1132" s="62">
        <v>-0.00819</v>
      </c>
      <c r="P1132" s="35"/>
      <c r="Q1132" s="120"/>
    </row>
    <row r="1133" spans="1:16" ht="15">
      <c r="A1133" s="57">
        <v>1.8E-05</v>
      </c>
      <c r="C1133" s="21">
        <f>+SQRT(0.0000066/C1132)</f>
        <v>0.00469041575982343</v>
      </c>
      <c r="D1133" s="20">
        <v>0.075</v>
      </c>
      <c r="E1133" s="57">
        <f>+C1133+D1133</f>
        <v>0.07969041575982343</v>
      </c>
      <c r="O1133" s="120" t="s">
        <v>11</v>
      </c>
      <c r="P1133" s="120"/>
    </row>
    <row r="1134" spans="1:5" ht="15">
      <c r="A1134" s="57">
        <v>-1.8E-05</v>
      </c>
      <c r="E1134" s="45">
        <f>2*C1133</f>
        <v>0.00938083151964686</v>
      </c>
    </row>
    <row r="1135" spans="1:13" ht="15">
      <c r="A1135" s="21">
        <f>+(A1133^2)-4*A1132*A1134</f>
        <v>7.20324E-07</v>
      </c>
      <c r="D1135" s="45">
        <f>+SQRT(0.0000066/D1133)</f>
        <v>0.00938083151964686</v>
      </c>
      <c r="I1135" s="21">
        <v>6.4E-06</v>
      </c>
      <c r="J1135" s="45">
        <f>+(I1135/4)^(1/3)</f>
        <v>0.011696070952851467</v>
      </c>
      <c r="K1135" s="45"/>
      <c r="L1135" s="35">
        <v>4</v>
      </c>
      <c r="M1135" s="35"/>
    </row>
    <row r="1136" spans="1:13" ht="15">
      <c r="A1136" s="21">
        <f>+SQRT(A1135)</f>
        <v>0.0008487190347812402</v>
      </c>
      <c r="J1136" s="42">
        <f>+J1135*390</f>
        <v>4.561467671612072</v>
      </c>
      <c r="K1136" s="42"/>
      <c r="L1136" s="57">
        <f>-I1135</f>
        <v>-6.4E-06</v>
      </c>
      <c r="M1136" s="57"/>
    </row>
    <row r="1137" spans="1:13" ht="15">
      <c r="A1137" s="50">
        <f>+(-A1133+A1136)/(2*A1132)</f>
        <v>0.04153595173906201</v>
      </c>
      <c r="J1137" s="42">
        <f>1000-J1136</f>
        <v>995.438532328388</v>
      </c>
      <c r="K1137" s="42"/>
      <c r="L1137" s="57">
        <v>-6.4E-07</v>
      </c>
      <c r="M1137" s="57"/>
    </row>
    <row r="1138" spans="1:13" ht="15">
      <c r="A1138" s="21">
        <f>+(-A1133-A1136)/(2*A1132)</f>
        <v>-0.04333595173906201</v>
      </c>
      <c r="J1138" s="20">
        <f>+J1137/1000</f>
        <v>0.995438532328388</v>
      </c>
      <c r="L1138" s="21">
        <f>+(L1136^2)-4*L1135*L1137</f>
        <v>1.024004096E-05</v>
      </c>
      <c r="M1138" s="21"/>
    </row>
    <row r="1139" spans="10:13" ht="15">
      <c r="J1139" s="45">
        <f>+J1135/J1138</f>
        <v>0.011749666677553344</v>
      </c>
      <c r="K1139" s="45"/>
      <c r="L1139" s="21">
        <f>+SQRT(L1138)</f>
        <v>0.0032000063999936</v>
      </c>
      <c r="M1139" s="21"/>
    </row>
    <row r="1140" spans="1:14" ht="15">
      <c r="A1140" s="21">
        <f>+(0.000000000074/4)^(1/3)</f>
        <v>0.0002644786236347104</v>
      </c>
      <c r="B1140" s="21">
        <f>+A1140*2</f>
        <v>0.0005289572472694208</v>
      </c>
      <c r="C1140" s="21">
        <f>+A1141+0.0001</f>
        <v>0.00185</v>
      </c>
      <c r="D1140" s="21">
        <f>+C1140*2</f>
        <v>0.0037</v>
      </c>
      <c r="E1140" s="21">
        <f>+D1140^2</f>
        <v>1.3690000000000001E-05</v>
      </c>
      <c r="F1140" s="21">
        <f>+E1140*C1140</f>
        <v>2.5326500000000002E-08</v>
      </c>
      <c r="J1140" s="21">
        <f>+J1135*2</f>
        <v>0.023392141905702935</v>
      </c>
      <c r="K1140" s="21"/>
      <c r="L1140" s="50">
        <f>+(-L1136+L1139)/(2*L1135)</f>
        <v>0.0004008007999992</v>
      </c>
      <c r="M1140" s="50"/>
      <c r="N1140" s="57">
        <f>+(0.00000064/4)^(1/3)</f>
        <v>0.005428835233189814</v>
      </c>
    </row>
    <row r="1141" spans="1:13" ht="15">
      <c r="A1141" s="21">
        <f>+(0.000000000074-0.000000000004)/0.00000004</f>
        <v>0.00175</v>
      </c>
      <c r="C1141" s="20">
        <f>0.0002^2</f>
        <v>4E-08</v>
      </c>
      <c r="J1141" s="20">
        <f>+J1137/18</f>
        <v>55.30214068491044</v>
      </c>
      <c r="L1141" s="21">
        <f>+(-L1136-L1139)/(2*L1135)</f>
        <v>-0.00039920079999919997</v>
      </c>
      <c r="M1141" s="21"/>
    </row>
    <row r="1142" spans="1:11" ht="15">
      <c r="A1142" s="21">
        <f>0.000000000074-0.000000000004</f>
        <v>7E-11</v>
      </c>
      <c r="B1142" s="21"/>
      <c r="C1142" s="57">
        <f>+C1141*C1140</f>
        <v>7.4E-11</v>
      </c>
      <c r="J1142" s="45">
        <f>+J1141+J1135</f>
        <v>55.31383675586329</v>
      </c>
      <c r="K1142" s="45"/>
    </row>
    <row r="1143" spans="1:11" ht="15">
      <c r="A1143" s="21">
        <f>+A1142/0.00000004</f>
        <v>0.00175</v>
      </c>
      <c r="D1143" s="51" t="s">
        <v>196</v>
      </c>
      <c r="E1143" s="21"/>
      <c r="F1143" s="76"/>
      <c r="G1143" s="21"/>
      <c r="J1143" s="45">
        <f>+J1135/J1142</f>
        <v>0.00021144927994190673</v>
      </c>
      <c r="K1143" s="45"/>
    </row>
    <row r="1144" spans="3:11" ht="15">
      <c r="C1144" s="21">
        <v>0.0001</v>
      </c>
      <c r="D1144" s="21">
        <f>+C1144*C1145^2</f>
        <v>4E-12</v>
      </c>
      <c r="E1144" s="21">
        <v>0.00175</v>
      </c>
      <c r="F1144" s="263">
        <f>+C1144+E1144</f>
        <v>0.00185</v>
      </c>
      <c r="G1144" s="21">
        <f>+F1144*F1145^2</f>
        <v>7.4E-11</v>
      </c>
      <c r="J1144" s="45">
        <f>+J1141/J1142</f>
        <v>0.9997885507200581</v>
      </c>
      <c r="K1144" s="45"/>
    </row>
    <row r="1145" spans="2:11" ht="15">
      <c r="B1145" s="35"/>
      <c r="C1145" s="21">
        <v>0.0002</v>
      </c>
      <c r="D1145" s="21"/>
      <c r="E1145" s="21"/>
      <c r="F1145" s="21">
        <f>C1145</f>
        <v>0.0002</v>
      </c>
      <c r="J1145" s="45">
        <f>+J1135*3</f>
        <v>0.0350882128585544</v>
      </c>
      <c r="K1145" s="45"/>
    </row>
    <row r="1146" spans="2:11" ht="15">
      <c r="B1146" s="57"/>
      <c r="C1146" s="21"/>
      <c r="E1146" s="21"/>
      <c r="F1146" s="21"/>
      <c r="J1146" s="35">
        <f>+J1145*0.0821*298</f>
        <v>0.8584611981548204</v>
      </c>
      <c r="K1146" s="35"/>
    </row>
    <row r="1147" spans="2:11" ht="15">
      <c r="B1147" s="57"/>
      <c r="C1147" s="21"/>
      <c r="J1147" s="35">
        <f>+J1135*3*0.0821*298</f>
        <v>0.8584611981548204</v>
      </c>
      <c r="K1147" s="35"/>
    </row>
    <row r="1148" spans="2:11" ht="15">
      <c r="B1148" s="21"/>
      <c r="C1148" s="21"/>
      <c r="J1148" s="32">
        <f>1.86*3*J1139</f>
        <v>0.06556314006074766</v>
      </c>
      <c r="K1148" s="32"/>
    </row>
    <row r="1149" spans="1:3" ht="15">
      <c r="A1149" s="21">
        <v>2.6E-13</v>
      </c>
      <c r="B1149" s="21"/>
      <c r="C1149" s="21"/>
    </row>
    <row r="1150" spans="1:3" ht="15">
      <c r="A1150" s="20">
        <f>+A1149/4</f>
        <v>6.5E-14</v>
      </c>
      <c r="B1150" s="50"/>
      <c r="C1150" s="45"/>
    </row>
    <row r="1151" spans="1:16" ht="15">
      <c r="A1151" s="21">
        <f>+(A1150)^(1/3)</f>
        <v>4.020725758589063E-05</v>
      </c>
      <c r="B1151" s="21">
        <f>+A1151*100*557.03</f>
        <v>2.239664869306866</v>
      </c>
      <c r="I1151" s="7" t="s">
        <v>197</v>
      </c>
      <c r="J1151" s="7" t="s">
        <v>198</v>
      </c>
      <c r="K1151" s="7"/>
      <c r="L1151" s="7" t="s">
        <v>199</v>
      </c>
      <c r="M1151" s="7"/>
      <c r="N1151" s="7" t="s">
        <v>200</v>
      </c>
      <c r="O1151" s="7" t="s">
        <v>201</v>
      </c>
      <c r="P1151" s="7"/>
    </row>
    <row r="1152" spans="9:20" ht="15">
      <c r="I1152" s="58">
        <v>7</v>
      </c>
      <c r="J1152" s="20">
        <v>0.036</v>
      </c>
      <c r="L1152" s="21">
        <f>+I1152*J1152/1000</f>
        <v>0.000252</v>
      </c>
      <c r="M1152" s="21"/>
      <c r="N1152" s="58">
        <f>+L1152*35.45*1000</f>
        <v>8.9334</v>
      </c>
      <c r="O1152" s="21">
        <f>+N1152*100/5*10</f>
        <v>1786.68</v>
      </c>
      <c r="P1152" s="21"/>
      <c r="S1152" s="46">
        <v>1786.8311999999996</v>
      </c>
      <c r="T1152" s="46">
        <f>+(S1153-S1152)/2</f>
        <v>63.815399999999954</v>
      </c>
    </row>
    <row r="1153" spans="1:19" ht="15">
      <c r="A1153" s="21">
        <f>0.01^2</f>
        <v>0.0001</v>
      </c>
      <c r="B1153" s="21"/>
      <c r="I1153" s="20">
        <v>7.5</v>
      </c>
      <c r="J1153" s="20">
        <v>0.036</v>
      </c>
      <c r="L1153" s="21">
        <f>+I1153*J1153/1000</f>
        <v>0.00026999999999999995</v>
      </c>
      <c r="M1153" s="21"/>
      <c r="N1153" s="58">
        <f>+L1153*35.45*1000</f>
        <v>9.571499999999999</v>
      </c>
      <c r="O1153" s="21">
        <f>+N1153*100/5*10</f>
        <v>1914.2999999999997</v>
      </c>
      <c r="P1153" s="21"/>
      <c r="S1153" s="46">
        <v>1914.4619999999995</v>
      </c>
    </row>
    <row r="1154" spans="1:19" ht="15">
      <c r="A1154" s="57">
        <f>0.01*4</f>
        <v>0.04</v>
      </c>
      <c r="I1154" s="20">
        <v>7.2</v>
      </c>
      <c r="J1154" s="20">
        <v>0.036</v>
      </c>
      <c r="L1154" s="21">
        <f>+I1154*J1154/1000</f>
        <v>0.0002592</v>
      </c>
      <c r="M1154" s="21"/>
      <c r="N1154" s="58">
        <f>+L1154*35.45*1000</f>
        <v>9.188640000000001</v>
      </c>
      <c r="O1154" s="21">
        <f>+N1154*100/5*10</f>
        <v>1837.728</v>
      </c>
      <c r="P1154" s="21"/>
      <c r="S1154" s="46">
        <v>1837.88352</v>
      </c>
    </row>
    <row r="1155" spans="1:19" ht="15">
      <c r="A1155" s="46">
        <v>2.6E-09</v>
      </c>
      <c r="I1155" s="37">
        <f>AVERAGE(I1152:I1154)</f>
        <v>7.233333333333333</v>
      </c>
      <c r="O1155" s="122">
        <f>AVERAGE(O1152:O1154)</f>
        <v>1846.2359999999999</v>
      </c>
      <c r="P1155" s="122"/>
      <c r="Q1155" s="20" t="s">
        <v>192</v>
      </c>
      <c r="S1155" s="58"/>
    </row>
    <row r="1156" spans="1:17" ht="15">
      <c r="A1156" s="21">
        <f>+A1155*100</f>
        <v>2.6E-07</v>
      </c>
      <c r="I1156" s="35">
        <f>STDEV(I1152:I1154)</f>
        <v>0.2516611478423568</v>
      </c>
      <c r="L1156" s="20">
        <f>+L1152/2</f>
        <v>0.000126</v>
      </c>
      <c r="O1156" s="42">
        <f>STDEV(O1152:O1154)</f>
        <v>64.23399137528483</v>
      </c>
      <c r="P1156" s="42"/>
      <c r="Q1156" s="20" t="s">
        <v>202</v>
      </c>
    </row>
    <row r="1157" spans="1:17" ht="15">
      <c r="A1157" s="21">
        <f>+A1156*557.03</f>
        <v>0.0001448278</v>
      </c>
      <c r="C1157" s="310" t="s">
        <v>517</v>
      </c>
      <c r="D1157" s="261" t="s">
        <v>514</v>
      </c>
      <c r="I1157" s="42">
        <f>TINV(0.05,COUNTA(I1152:I1154)-1)</f>
        <v>4.302652729544542</v>
      </c>
      <c r="O1157" s="42">
        <f>TINV(0.05,COUNTA(O1152:O1154)-1)</f>
        <v>4.302652729544542</v>
      </c>
      <c r="P1157" s="42"/>
      <c r="Q1157" s="20" t="s">
        <v>193</v>
      </c>
    </row>
    <row r="1158" spans="1:16" ht="15">
      <c r="A1158" s="50"/>
      <c r="C1158" s="310"/>
      <c r="D1158" s="260" t="s">
        <v>515</v>
      </c>
      <c r="I1158" s="42">
        <f>+I1155-(I1156*I1157)</f>
        <v>6.150522808649104</v>
      </c>
      <c r="O1158" s="123">
        <f>+O1155-(O1156*O1157)</f>
        <v>1569.85944167959</v>
      </c>
      <c r="P1158" s="123"/>
    </row>
    <row r="1159" spans="1:16" ht="15">
      <c r="A1159" s="21"/>
      <c r="C1159" s="310"/>
      <c r="D1159" s="261" t="s">
        <v>516</v>
      </c>
      <c r="I1159" s="42">
        <f>+I1155+(I1156*I1157)</f>
        <v>8.316143858017563</v>
      </c>
      <c r="O1159" s="123">
        <f>+O1155+(O1156*O1157)</f>
        <v>2122.61255832041</v>
      </c>
      <c r="P1159" s="123"/>
    </row>
    <row r="1160" spans="1:17" ht="15">
      <c r="A1160" s="35">
        <v>0.01</v>
      </c>
      <c r="B1160" s="208" t="s">
        <v>145</v>
      </c>
      <c r="C1160" s="42">
        <f>0.002*1000</f>
        <v>2</v>
      </c>
      <c r="D1160" s="20">
        <v>50.08</v>
      </c>
      <c r="E1160" s="20">
        <f>+C1160*D1160</f>
        <v>100.16</v>
      </c>
      <c r="F1160" s="42"/>
      <c r="I1160" s="34">
        <f>+I1156*I1157/SQRT(3)</f>
        <v>0.6251609479077997</v>
      </c>
      <c r="O1160" s="122">
        <f>+(O1156*O1157)/SQRT(3)</f>
        <v>159.56608034399093</v>
      </c>
      <c r="P1160" s="122"/>
      <c r="Q1160" s="20" t="s">
        <v>203</v>
      </c>
    </row>
    <row r="1161" spans="1:16" ht="15">
      <c r="A1161" s="57">
        <v>1.8E-05</v>
      </c>
      <c r="B1161" s="208" t="s">
        <v>513</v>
      </c>
      <c r="C1161" s="42">
        <f>0.001*1000</f>
        <v>1</v>
      </c>
      <c r="D1161" s="42">
        <v>160</v>
      </c>
      <c r="E1161" s="42">
        <f>+C1161*D1161</f>
        <v>160</v>
      </c>
      <c r="F1161" s="42"/>
      <c r="I1161" s="60">
        <f>+I1155-$O$1160</f>
        <v>-152.3327470106576</v>
      </c>
      <c r="O1161" s="122">
        <f>+O1155-$O$1160</f>
        <v>1686.669919656009</v>
      </c>
      <c r="P1161" s="122"/>
    </row>
    <row r="1162" spans="1:16" ht="15">
      <c r="A1162" s="57">
        <v>-1.8E-05</v>
      </c>
      <c r="B1162" s="208" t="s">
        <v>10</v>
      </c>
      <c r="C1162" s="35">
        <f>+$A$1165*0.01*1000</f>
        <v>0.41535951739062005</v>
      </c>
      <c r="D1162" s="20">
        <v>349.65</v>
      </c>
      <c r="E1162" s="42">
        <f>+C1162*D1162</f>
        <v>145.2304552556303</v>
      </c>
      <c r="I1162" s="60">
        <f>+I1155+I1160</f>
        <v>7.858494281241133</v>
      </c>
      <c r="O1162" s="122">
        <f>+O1155+O1160</f>
        <v>2005.8020803439908</v>
      </c>
      <c r="P1162" s="122"/>
    </row>
    <row r="1163" spans="1:5" ht="15">
      <c r="A1163" s="21">
        <f>+(A1161^2)-4*A1160*A1162</f>
        <v>7.20324E-07</v>
      </c>
      <c r="B1163" s="208" t="s">
        <v>88</v>
      </c>
      <c r="C1163" s="35">
        <f>+$A$1165*0.01*1000</f>
        <v>0.41535951739062005</v>
      </c>
      <c r="D1163" s="42">
        <v>40.9</v>
      </c>
      <c r="E1163" s="42">
        <f>+C1163*D1163</f>
        <v>16.98820426127636</v>
      </c>
    </row>
    <row r="1164" spans="1:6" ht="15">
      <c r="A1164" s="21">
        <f>+SQRT(A1163)</f>
        <v>0.0008487190347812402</v>
      </c>
      <c r="E1164" s="42">
        <f>SUM(E1160:E1163)</f>
        <v>422.3786595169066</v>
      </c>
      <c r="F1164" s="20" t="s">
        <v>518</v>
      </c>
    </row>
    <row r="1165" spans="1:16" ht="15">
      <c r="A1165" s="50">
        <f>+(-A1161+A1164)/(2*A1160)</f>
        <v>0.04153595173906201</v>
      </c>
      <c r="L1165" s="21">
        <f>+I1152*$J$1152/1000</f>
        <v>0.000252</v>
      </c>
      <c r="M1165" s="21"/>
      <c r="N1165" s="21">
        <f>+L1165*100/5</f>
        <v>0.00504</v>
      </c>
      <c r="O1165" s="35">
        <f>+N1165*35.45</f>
        <v>0.17866800000000002</v>
      </c>
      <c r="P1165" s="35"/>
    </row>
    <row r="1166" spans="1:16" ht="15">
      <c r="A1166" s="21">
        <f>+(-A1161-A1164)/(2*A1160)</f>
        <v>-0.04333595173906201</v>
      </c>
      <c r="L1166" s="21">
        <f>+I1153*$J$1152/1000</f>
        <v>0.00026999999999999995</v>
      </c>
      <c r="M1166" s="21"/>
      <c r="N1166" s="21">
        <f>+L1166*100/5</f>
        <v>0.005399999999999999</v>
      </c>
      <c r="O1166" s="35">
        <f>+N1166*35.45</f>
        <v>0.19143</v>
      </c>
      <c r="P1166" s="35"/>
    </row>
    <row r="1167" spans="12:16" ht="15">
      <c r="L1167" s="21">
        <f>+I1154*$J$1152/1000</f>
        <v>0.0002592</v>
      </c>
      <c r="M1167" s="21"/>
      <c r="N1167" s="21">
        <f>+L1167*100/5</f>
        <v>0.005184</v>
      </c>
      <c r="O1167" s="35">
        <f>+N1167*35.45</f>
        <v>0.18377280000000001</v>
      </c>
      <c r="P1167" s="35"/>
    </row>
    <row r="1169" spans="8:18" ht="15" customHeight="1">
      <c r="H1169" s="344" t="s">
        <v>238</v>
      </c>
      <c r="I1169" s="345"/>
      <c r="J1169" s="130" t="s">
        <v>234</v>
      </c>
      <c r="K1169" s="146"/>
      <c r="L1169" s="332" t="s">
        <v>29</v>
      </c>
      <c r="M1169" s="325" t="s">
        <v>210</v>
      </c>
      <c r="N1169" s="130" t="s">
        <v>235</v>
      </c>
      <c r="O1169" s="332" t="s">
        <v>211</v>
      </c>
      <c r="P1169" s="325" t="s">
        <v>11</v>
      </c>
      <c r="Q1169" s="130" t="s">
        <v>237</v>
      </c>
      <c r="R1169" s="330" t="s">
        <v>212</v>
      </c>
    </row>
    <row r="1170" spans="1:18" ht="15">
      <c r="A1170" s="20">
        <f>3*-393.5</f>
        <v>-1180.5</v>
      </c>
      <c r="B1170" s="20">
        <f>-1960-A1170-103.9</f>
        <v>-883.4</v>
      </c>
      <c r="C1170" s="20">
        <f>-110.5-B1171</f>
        <v>110.35</v>
      </c>
      <c r="H1170" s="346"/>
      <c r="I1170" s="347"/>
      <c r="J1170" s="131" t="s">
        <v>232</v>
      </c>
      <c r="K1170" s="147"/>
      <c r="L1170" s="333"/>
      <c r="M1170" s="326"/>
      <c r="N1170" s="131" t="s">
        <v>236</v>
      </c>
      <c r="O1170" s="333"/>
      <c r="P1170" s="326"/>
      <c r="Q1170" s="131" t="s">
        <v>232</v>
      </c>
      <c r="R1170" s="331"/>
    </row>
    <row r="1171" spans="2:18" ht="15">
      <c r="B1171" s="20">
        <f>+B1170/4</f>
        <v>-220.85</v>
      </c>
      <c r="C1171" s="42">
        <f>35/12.011</f>
        <v>2.9139955041212224</v>
      </c>
      <c r="H1171" s="348"/>
      <c r="I1171" s="349"/>
      <c r="J1171" s="131" t="s">
        <v>233</v>
      </c>
      <c r="K1171" s="147"/>
      <c r="L1171" s="333"/>
      <c r="M1171" s="131" t="s">
        <v>233</v>
      </c>
      <c r="N1171" s="131" t="s">
        <v>233</v>
      </c>
      <c r="O1171" s="333"/>
      <c r="P1171" s="131" t="s">
        <v>233</v>
      </c>
      <c r="Q1171" s="131" t="s">
        <v>233</v>
      </c>
      <c r="R1171" s="331"/>
    </row>
    <row r="1172" spans="3:18" ht="15">
      <c r="C1172" s="42">
        <f>+C1170*C1171</f>
        <v>321.5594038797769</v>
      </c>
      <c r="H1172" s="324" t="s">
        <v>208</v>
      </c>
      <c r="I1172" s="126" t="s">
        <v>207</v>
      </c>
      <c r="J1172" s="134">
        <v>0.005</v>
      </c>
      <c r="K1172" s="154"/>
      <c r="L1172" s="327">
        <f>+J1174^3/J1172/J1173</f>
        <v>2.0000000000000004</v>
      </c>
      <c r="M1172" s="135" t="s">
        <v>240</v>
      </c>
      <c r="N1172" s="137">
        <f>+J1172</f>
        <v>0.005</v>
      </c>
      <c r="O1172" s="327">
        <f>+N1174^3/N1172/N1173</f>
        <v>8.000000000000002</v>
      </c>
      <c r="P1172" s="321">
        <v>-0.00805</v>
      </c>
      <c r="Q1172" s="137">
        <f>+N1172-$P$1172</f>
        <v>0.013049999999999999</v>
      </c>
      <c r="R1172" s="327">
        <f>+Q1174^3/Q1172/Q1173</f>
        <v>2.0028521277673272</v>
      </c>
    </row>
    <row r="1173" spans="8:18" ht="15">
      <c r="H1173" s="324"/>
      <c r="I1173" s="126" t="s">
        <v>206</v>
      </c>
      <c r="J1173" s="138">
        <v>0.1</v>
      </c>
      <c r="K1173" s="155"/>
      <c r="L1173" s="328"/>
      <c r="M1173" s="135" t="s">
        <v>239</v>
      </c>
      <c r="N1173" s="139">
        <f>+J1173+0.1</f>
        <v>0.2</v>
      </c>
      <c r="O1173" s="328"/>
      <c r="P1173" s="322"/>
      <c r="Q1173" s="136">
        <f>+N1173-$P$1172</f>
        <v>0.20805</v>
      </c>
      <c r="R1173" s="328"/>
    </row>
    <row r="1174" spans="8:18" ht="15">
      <c r="H1174" s="126" t="s">
        <v>209</v>
      </c>
      <c r="I1174" s="126" t="s">
        <v>205</v>
      </c>
      <c r="J1174" s="138">
        <v>0.1</v>
      </c>
      <c r="K1174" s="156"/>
      <c r="L1174" s="329"/>
      <c r="M1174" s="135" t="s">
        <v>239</v>
      </c>
      <c r="N1174" s="139">
        <f>+J1174+0.1</f>
        <v>0.2</v>
      </c>
      <c r="O1174" s="329"/>
      <c r="P1174" s="323"/>
      <c r="Q1174" s="136">
        <f>+N1174+3*P1172</f>
        <v>0.17585</v>
      </c>
      <c r="R1174" s="329"/>
    </row>
    <row r="1175" spans="8:18" ht="15">
      <c r="H1175" s="133"/>
      <c r="I1175" s="133"/>
      <c r="J1175" s="140"/>
      <c r="K1175" s="140"/>
      <c r="L1175" s="141"/>
      <c r="M1175" s="142"/>
      <c r="N1175" s="143"/>
      <c r="O1175" s="141"/>
      <c r="P1175" s="144"/>
      <c r="Q1175" s="334" t="s">
        <v>242</v>
      </c>
      <c r="R1175" s="141"/>
    </row>
    <row r="1176" spans="8:18" ht="15">
      <c r="H1176" s="133"/>
      <c r="I1176" s="133"/>
      <c r="J1176" s="140"/>
      <c r="K1176" s="140"/>
      <c r="L1176" s="141"/>
      <c r="M1176" s="142"/>
      <c r="N1176" s="143"/>
      <c r="O1176" s="141"/>
      <c r="P1176" s="144"/>
      <c r="Q1176" s="334"/>
      <c r="R1176" s="141"/>
    </row>
    <row r="1177" spans="1:18" ht="15">
      <c r="A1177" s="21">
        <f>+(0.0000000000000037/27)^(1/4)</f>
        <v>0.0001081955726802818</v>
      </c>
      <c r="B1177" s="21">
        <f>+(0.0000000000002/4)^(1/3)</f>
        <v>3.684031498640391E-05</v>
      </c>
      <c r="H1177" s="133"/>
      <c r="I1177" s="133"/>
      <c r="J1177" s="140"/>
      <c r="K1177" s="140"/>
      <c r="L1177" s="141"/>
      <c r="M1177" s="142"/>
      <c r="N1177" s="143"/>
      <c r="O1177" s="141"/>
      <c r="P1177" s="144"/>
      <c r="Q1177" s="145"/>
      <c r="R1177" s="141"/>
    </row>
    <row r="1178" spans="1:18" ht="15">
      <c r="A1178" s="21">
        <f>(0.0000000000000037/0.00001)^(1/3)</f>
        <v>0.0007179054352068319</v>
      </c>
      <c r="B1178" s="21">
        <f>+SQRT(0.0000000000002/0.00001)</f>
        <v>0.0001414213562373095</v>
      </c>
      <c r="L1178" s="120"/>
      <c r="M1178" s="120"/>
      <c r="O1178" s="124"/>
      <c r="P1178" s="124"/>
      <c r="R1178" s="120"/>
    </row>
    <row r="1179" spans="1:18" ht="15">
      <c r="A1179" s="21">
        <f>0.0000000000002/A1178^2</f>
        <v>3.8805699200369295E-07</v>
      </c>
      <c r="H1179" s="344" t="s">
        <v>238</v>
      </c>
      <c r="I1179" s="345"/>
      <c r="J1179" s="130" t="s">
        <v>234</v>
      </c>
      <c r="K1179" s="146"/>
      <c r="L1179" s="332" t="s">
        <v>29</v>
      </c>
      <c r="M1179" s="325" t="s">
        <v>210</v>
      </c>
      <c r="N1179" s="130" t="s">
        <v>235</v>
      </c>
      <c r="O1179" s="332" t="s">
        <v>211</v>
      </c>
      <c r="P1179" s="325" t="s">
        <v>11</v>
      </c>
      <c r="Q1179" s="130" t="s">
        <v>237</v>
      </c>
      <c r="R1179" s="330" t="s">
        <v>212</v>
      </c>
    </row>
    <row r="1180" spans="8:18" ht="15">
      <c r="H1180" s="346"/>
      <c r="I1180" s="347"/>
      <c r="J1180" s="131" t="s">
        <v>232</v>
      </c>
      <c r="K1180" s="147"/>
      <c r="L1180" s="333"/>
      <c r="M1180" s="326"/>
      <c r="N1180" s="131" t="s">
        <v>236</v>
      </c>
      <c r="O1180" s="333"/>
      <c r="P1180" s="326"/>
      <c r="Q1180" s="131" t="s">
        <v>232</v>
      </c>
      <c r="R1180" s="331"/>
    </row>
    <row r="1181" spans="8:18" ht="15">
      <c r="H1181" s="348"/>
      <c r="I1181" s="349"/>
      <c r="J1181" s="131" t="s">
        <v>233</v>
      </c>
      <c r="K1181" s="147"/>
      <c r="L1181" s="333"/>
      <c r="M1181" s="131" t="s">
        <v>233</v>
      </c>
      <c r="N1181" s="131" t="s">
        <v>233</v>
      </c>
      <c r="O1181" s="333"/>
      <c r="P1181" s="132" t="s">
        <v>233</v>
      </c>
      <c r="Q1181" s="131" t="s">
        <v>233</v>
      </c>
      <c r="R1181" s="331"/>
    </row>
    <row r="1182" spans="8:18" ht="15">
      <c r="H1182" s="324" t="s">
        <v>208</v>
      </c>
      <c r="I1182" s="126" t="s">
        <v>207</v>
      </c>
      <c r="J1182" s="134">
        <v>0.005</v>
      </c>
      <c r="K1182" s="154"/>
      <c r="L1182" s="327">
        <f>+J1184^3/J1182/J1183</f>
        <v>2.0000000000000004</v>
      </c>
      <c r="M1182" s="135" t="s">
        <v>241</v>
      </c>
      <c r="N1182" s="136">
        <f>J1182+0.5</f>
        <v>0.505</v>
      </c>
      <c r="O1182" s="338">
        <f>+N1184^3/N1182/N1183</f>
        <v>0.15841584158415845</v>
      </c>
      <c r="P1182" s="341">
        <v>0.0935</v>
      </c>
      <c r="Q1182" s="136">
        <f>+N1182-$P$1172</f>
        <v>0.51305</v>
      </c>
      <c r="R1182" s="327">
        <f>+Q1184^3/Q1182/Q1183</f>
        <v>2.0012240472758633</v>
      </c>
    </row>
    <row r="1183" spans="8:18" ht="15">
      <c r="H1183" s="324"/>
      <c r="I1183" s="126" t="s">
        <v>206</v>
      </c>
      <c r="J1183" s="138">
        <v>0.1</v>
      </c>
      <c r="K1183" s="155"/>
      <c r="L1183" s="328"/>
      <c r="M1183" s="135" t="s">
        <v>240</v>
      </c>
      <c r="N1183" s="139">
        <f>J1183</f>
        <v>0.1</v>
      </c>
      <c r="O1183" s="339"/>
      <c r="P1183" s="342"/>
      <c r="Q1183" s="136">
        <f>+N1183-$P$1172</f>
        <v>0.10805000000000001</v>
      </c>
      <c r="R1183" s="328"/>
    </row>
    <row r="1184" spans="8:18" ht="15">
      <c r="H1184" s="126" t="s">
        <v>209</v>
      </c>
      <c r="I1184" s="126" t="s">
        <v>205</v>
      </c>
      <c r="J1184" s="138">
        <v>0.1</v>
      </c>
      <c r="K1184" s="156"/>
      <c r="L1184" s="329"/>
      <c r="M1184" s="135" t="s">
        <v>239</v>
      </c>
      <c r="N1184" s="139">
        <f>+J1184+0.1</f>
        <v>0.2</v>
      </c>
      <c r="O1184" s="340"/>
      <c r="P1184" s="343"/>
      <c r="Q1184" s="136">
        <f>+N1184+3*P1182</f>
        <v>0.4805</v>
      </c>
      <c r="R1184" s="329"/>
    </row>
    <row r="1185" spans="9:18" ht="15">
      <c r="I1185" s="119"/>
      <c r="J1185" s="44"/>
      <c r="K1185" s="44"/>
      <c r="L1185" s="42"/>
      <c r="M1185" s="42"/>
      <c r="O1185" s="35"/>
      <c r="P1185" s="35"/>
      <c r="Q1185" s="334" t="s">
        <v>243</v>
      </c>
      <c r="R1185" s="35"/>
    </row>
    <row r="1186" spans="9:18" ht="15">
      <c r="I1186" s="119"/>
      <c r="J1186" s="44"/>
      <c r="K1186" s="44"/>
      <c r="L1186" s="32"/>
      <c r="M1186" s="32"/>
      <c r="O1186" s="32"/>
      <c r="P1186" s="32"/>
      <c r="Q1186" s="334"/>
      <c r="R1186" s="32"/>
    </row>
    <row r="1187" spans="12:18" ht="15">
      <c r="L1187" s="120"/>
      <c r="M1187" s="120"/>
      <c r="O1187" s="125"/>
      <c r="P1187" s="125"/>
      <c r="R1187" s="120"/>
    </row>
    <row r="1188" spans="12:18" ht="15">
      <c r="L1188" s="120"/>
      <c r="M1188" s="120"/>
      <c r="O1188" s="121"/>
      <c r="P1188" s="121"/>
      <c r="Q1188" s="62"/>
      <c r="R1188" s="120"/>
    </row>
    <row r="1189" ht="15">
      <c r="Q1189" s="120"/>
    </row>
    <row r="1190" spans="2:13" ht="15">
      <c r="B1190" s="124">
        <v>0</v>
      </c>
      <c r="C1190" s="124">
        <v>5</v>
      </c>
      <c r="D1190" s="99">
        <v>12.5</v>
      </c>
      <c r="E1190" s="99"/>
      <c r="F1190" s="99"/>
      <c r="G1190" s="124">
        <v>20</v>
      </c>
      <c r="H1190" s="124">
        <v>25</v>
      </c>
      <c r="I1190" s="124">
        <v>37.5</v>
      </c>
      <c r="J1190" s="99"/>
      <c r="K1190" s="99"/>
      <c r="L1190" s="99"/>
      <c r="M1190" s="124">
        <f>29.2*90/100</f>
        <v>26.28</v>
      </c>
    </row>
    <row r="1191" spans="1:12" ht="15">
      <c r="A1191" s="57">
        <v>0.0069</v>
      </c>
      <c r="B1191" s="57">
        <f>+SQRT(0.00000000000001/A1193*0.05)</f>
        <v>0.032274861218395144</v>
      </c>
      <c r="C1191" s="57">
        <f>0.05*0.05</f>
        <v>0.0025000000000000005</v>
      </c>
      <c r="D1191" s="57">
        <f>C1191</f>
        <v>0.0025000000000000005</v>
      </c>
      <c r="E1191" s="57"/>
      <c r="F1191" s="57"/>
      <c r="G1191" s="57">
        <f>D1191</f>
        <v>0.0025000000000000005</v>
      </c>
      <c r="H1191" s="57">
        <v>0.001</v>
      </c>
      <c r="I1191" s="21">
        <v>0.0025</v>
      </c>
      <c r="L1191" s="57"/>
    </row>
    <row r="1192" spans="1:14" ht="15">
      <c r="A1192" s="57">
        <v>6.2E-08</v>
      </c>
      <c r="B1192" s="57"/>
      <c r="C1192" s="57">
        <f>0.2*0.005</f>
        <v>0.001</v>
      </c>
      <c r="D1192" s="57">
        <f>0.2*0.0075</f>
        <v>0.0015</v>
      </c>
      <c r="E1192" s="57"/>
      <c r="F1192" s="57"/>
      <c r="G1192" s="57">
        <f>0.2*7.5/1000</f>
        <v>0.0015</v>
      </c>
      <c r="H1192" s="57">
        <v>0.001</v>
      </c>
      <c r="I1192" s="21">
        <f>12.5*0.2/1000</f>
        <v>0.0025</v>
      </c>
      <c r="L1192" s="57"/>
      <c r="M1192" s="57">
        <f>3.5*90/100/292.25</f>
        <v>0.010778443113772455</v>
      </c>
      <c r="N1192" s="57">
        <f>3.5*70/100/292.25</f>
        <v>0.008383233532934133</v>
      </c>
    </row>
    <row r="1193" spans="1:16" ht="15">
      <c r="A1193" s="57">
        <v>4.8E-13</v>
      </c>
      <c r="B1193" s="57"/>
      <c r="C1193" s="57">
        <f>+C1191-C1192</f>
        <v>0.0015000000000000005</v>
      </c>
      <c r="G1193" s="57">
        <f>+G1191-G1192</f>
        <v>0.0010000000000000005</v>
      </c>
      <c r="H1193" s="21">
        <v>0.0025</v>
      </c>
      <c r="I1193" s="21">
        <f>I1192</f>
        <v>0.0025</v>
      </c>
      <c r="L1193" s="57"/>
      <c r="M1193" s="57">
        <f>+M1192*0.02*100*1000*1</f>
        <v>21.55688622754491</v>
      </c>
      <c r="N1193" s="57">
        <f>+N1192*0.02*100*1000*1</f>
        <v>16.766467065868266</v>
      </c>
      <c r="P1193" s="57"/>
    </row>
    <row r="1194" spans="1:13" ht="15">
      <c r="A1194" s="53" t="s">
        <v>18</v>
      </c>
      <c r="B1194" s="73">
        <f>-LOG(B1191)</f>
        <v>1.4911356165197842</v>
      </c>
      <c r="C1194" s="21">
        <f>+A1193*C1193/C1192</f>
        <v>7.200000000000002E-13</v>
      </c>
      <c r="D1194" s="21">
        <f>+SQRT(A1192*A1193)</f>
        <v>1.725108692227826E-10</v>
      </c>
      <c r="E1194" s="21"/>
      <c r="F1194" s="21"/>
      <c r="G1194" s="21">
        <f>+A1192*G1192/G1193</f>
        <v>9.299999999999996E-08</v>
      </c>
      <c r="H1194" s="21">
        <f>+SQRT(A1191*A1192)</f>
        <v>2.068332661831747E-05</v>
      </c>
      <c r="I1194" s="21">
        <f>+SQRT(A1191*I1193/0.1125)</f>
        <v>0.012382783747337806</v>
      </c>
      <c r="J1194" s="57"/>
      <c r="K1194" s="57"/>
      <c r="L1194" s="57"/>
      <c r="M1194" s="57"/>
    </row>
    <row r="1195" spans="1:13" ht="15">
      <c r="A1195" s="53" t="s">
        <v>12</v>
      </c>
      <c r="B1195" s="73">
        <f>14-B1194</f>
        <v>12.508864383480216</v>
      </c>
      <c r="C1195" s="73">
        <f>-LOG10(C1194)</f>
        <v>12.142667503568731</v>
      </c>
      <c r="D1195" s="73">
        <f>-LOG(D1194)</f>
        <v>9.76318353656308</v>
      </c>
      <c r="E1195" s="73"/>
      <c r="F1195" s="73"/>
      <c r="G1195" s="73">
        <f>-LOG10(G1194)</f>
        <v>7.031517051446065</v>
      </c>
      <c r="H1195" s="73">
        <f>-LOG10(H1194)</f>
        <v>4.684379609882245</v>
      </c>
      <c r="I1195" s="73">
        <f>-LOG(I1194)</f>
        <v>1.9071817115190441</v>
      </c>
      <c r="J1195" s="73"/>
      <c r="K1195" s="73"/>
      <c r="L1195" s="73"/>
      <c r="M1195" s="54"/>
    </row>
    <row r="1196" spans="9:13" ht="15">
      <c r="I1196" s="58"/>
      <c r="J1196" s="58"/>
      <c r="K1196" s="58"/>
      <c r="M1196" s="73"/>
    </row>
    <row r="1200" spans="1:7" ht="15">
      <c r="A1200" s="32">
        <f>0.839/63.546</f>
        <v>0.013203034022597803</v>
      </c>
      <c r="B1200" s="20">
        <v>79.546</v>
      </c>
      <c r="C1200" s="20">
        <f>+A1200*B1202</f>
        <v>150.28216470978506</v>
      </c>
      <c r="D1200" s="15"/>
      <c r="E1200" s="15"/>
      <c r="F1200" s="15"/>
      <c r="G1200" s="35"/>
    </row>
    <row r="1201" spans="2:7" ht="15">
      <c r="B1201" s="20">
        <v>143.092</v>
      </c>
      <c r="C1201" s="20">
        <f>+B1200*2</f>
        <v>159.092</v>
      </c>
      <c r="D1201" s="15"/>
      <c r="E1201" s="15"/>
      <c r="F1201" s="15"/>
      <c r="G1201" s="57"/>
    </row>
    <row r="1202" spans="2:7" ht="15">
      <c r="B1202" s="60">
        <f>+B1200*B1201</f>
        <v>11382.396232000003</v>
      </c>
      <c r="C1202" s="42">
        <f>+C1200-B1201</f>
        <v>7.190164709785051</v>
      </c>
      <c r="D1202" s="15"/>
      <c r="E1202" s="15"/>
      <c r="F1202" s="15"/>
      <c r="G1202" s="57"/>
    </row>
    <row r="1203" spans="3:7" ht="15">
      <c r="C1203" s="20">
        <f>+C1201-B1201</f>
        <v>16</v>
      </c>
      <c r="D1203" s="15"/>
      <c r="E1203" s="15"/>
      <c r="F1203" s="15"/>
      <c r="G1203" s="21"/>
    </row>
    <row r="1204" spans="3:7" ht="15">
      <c r="C1204" s="37">
        <f>+C1202/C1203</f>
        <v>0.4493852943615657</v>
      </c>
      <c r="D1204" s="68" t="s">
        <v>213</v>
      </c>
      <c r="E1204" s="68"/>
      <c r="F1204" s="68"/>
      <c r="G1204" s="21"/>
    </row>
    <row r="1205" spans="3:7" ht="15">
      <c r="C1205" s="37">
        <f>1-C1204</f>
        <v>0.5506147056384343</v>
      </c>
      <c r="D1205" s="68" t="s">
        <v>158</v>
      </c>
      <c r="E1205" s="68"/>
      <c r="F1205" s="68"/>
      <c r="G1205" s="50"/>
    </row>
    <row r="1206" spans="4:7" ht="15">
      <c r="D1206" s="30"/>
      <c r="E1206" s="30"/>
      <c r="F1206" s="30"/>
      <c r="G1206" s="21"/>
    </row>
    <row r="1207" spans="1:7" ht="15">
      <c r="A1207" s="7" t="s">
        <v>214</v>
      </c>
      <c r="B1207" s="7" t="s">
        <v>215</v>
      </c>
      <c r="D1207" s="30"/>
      <c r="E1207" s="30"/>
      <c r="F1207" s="30"/>
      <c r="G1207" s="21"/>
    </row>
    <row r="1208" spans="1:2" ht="15">
      <c r="A1208" s="31">
        <f>3.24/324.604</f>
        <v>0.00998139271235105</v>
      </c>
      <c r="B1208" s="32">
        <f>10.84/271.496</f>
        <v>0.039926923416919585</v>
      </c>
    </row>
    <row r="1209" spans="1:2" ht="15">
      <c r="A1209" s="32">
        <f>1.86*A1208</f>
        <v>0.018565390444972955</v>
      </c>
      <c r="B1209" s="32">
        <f>1.86*B1208</f>
        <v>0.07426407755547043</v>
      </c>
    </row>
    <row r="1210" spans="1:2" ht="15">
      <c r="A1210" s="34">
        <f>0.0558/A1209</f>
        <v>3.005592592592592</v>
      </c>
      <c r="B1210" s="34">
        <f>0.0744/B1209</f>
        <v>1.0018302583025829</v>
      </c>
    </row>
    <row r="1212" spans="1:2" ht="15">
      <c r="A1212" s="7" t="s">
        <v>216</v>
      </c>
      <c r="B1212" s="7" t="s">
        <v>217</v>
      </c>
    </row>
    <row r="1213" spans="1:3" ht="15">
      <c r="A1213" s="35">
        <f>60/46.07</f>
        <v>1.302365964836119</v>
      </c>
      <c r="B1213" s="35">
        <f>40/32.043</f>
        <v>1.2483225665511968</v>
      </c>
      <c r="C1213" s="35">
        <f>SUM(A1213:B1213)</f>
        <v>2.5506885313873155</v>
      </c>
    </row>
    <row r="1214" spans="1:2" ht="15">
      <c r="A1214" s="32">
        <f>+A1213/C1213</f>
        <v>0.5105938842825957</v>
      </c>
      <c r="B1214" s="32">
        <f>+B1213/C1213</f>
        <v>0.4894061157174044</v>
      </c>
    </row>
    <row r="1215" spans="1:3" ht="15">
      <c r="A1215" s="35">
        <f>+A1214*44.5</f>
        <v>22.72142785057551</v>
      </c>
      <c r="B1215" s="35">
        <f>+B1214*88.7</f>
        <v>43.41032246413377</v>
      </c>
      <c r="C1215" s="35">
        <f>SUM(A1215:B1215)</f>
        <v>66.13175031470928</v>
      </c>
    </row>
    <row r="1216" spans="1:2" ht="15">
      <c r="A1216" s="127">
        <f>+A1215/C1215</f>
        <v>0.34357820173287806</v>
      </c>
      <c r="B1216" s="127">
        <f>+B1215/C1215</f>
        <v>0.6564217982671219</v>
      </c>
    </row>
    <row r="1218" spans="4:7" ht="15">
      <c r="D1218" s="7" t="s">
        <v>244</v>
      </c>
      <c r="E1218" s="7"/>
      <c r="F1218" s="7"/>
      <c r="G1218" s="7" t="s">
        <v>245</v>
      </c>
    </row>
    <row r="1219" spans="1:14" ht="15">
      <c r="A1219" s="15" t="s">
        <v>0</v>
      </c>
      <c r="B1219" s="35">
        <v>4</v>
      </c>
      <c r="D1219" s="21">
        <f>+(0.0000064/4)^(1/3)</f>
        <v>0.011696070952851467</v>
      </c>
      <c r="E1219" s="21"/>
      <c r="F1219" s="21"/>
      <c r="G1219" s="21">
        <f>+D1219*2</f>
        <v>0.023392141905702935</v>
      </c>
      <c r="H1219" s="45">
        <f>+G1224+G1221</f>
        <v>0.5403528514342176</v>
      </c>
      <c r="J1219" s="21">
        <f>+D1219*G1219^2</f>
        <v>6.400000000000005E-06</v>
      </c>
      <c r="K1219" s="21"/>
      <c r="M1219" s="20">
        <v>0.00392</v>
      </c>
      <c r="N1219" s="20">
        <v>0.004</v>
      </c>
    </row>
    <row r="1220" spans="1:14" ht="15">
      <c r="A1220" s="15" t="s">
        <v>2</v>
      </c>
      <c r="B1220" s="57">
        <v>-6.4E-06</v>
      </c>
      <c r="D1220" s="57">
        <v>0.1</v>
      </c>
      <c r="E1220" s="57"/>
      <c r="F1220" s="57"/>
      <c r="G1220" s="21">
        <f>+G1219^2</f>
        <v>0.0005471923029365433</v>
      </c>
      <c r="H1220" s="45">
        <f>+G1223+G1220</f>
        <v>0.010998433671090805</v>
      </c>
      <c r="M1220" s="35">
        <f>+M1219+0.1</f>
        <v>0.10392000000000001</v>
      </c>
      <c r="N1220" s="151">
        <f>+N1219+0.1</f>
        <v>0.10400000000000001</v>
      </c>
    </row>
    <row r="1221" spans="1:14" ht="15">
      <c r="A1221" s="15" t="s">
        <v>4</v>
      </c>
      <c r="B1221" s="57">
        <v>-6.4E-07</v>
      </c>
      <c r="D1221" s="21">
        <f>SUM(D1219:D1220)</f>
        <v>0.11169607095285147</v>
      </c>
      <c r="E1221" s="21"/>
      <c r="F1221" s="21"/>
      <c r="G1221" s="21">
        <f>4*G1219</f>
        <v>0.09356856762281174</v>
      </c>
      <c r="M1221" s="20">
        <f>+M1219*2</f>
        <v>0.00784</v>
      </c>
      <c r="N1221" s="31">
        <f>+N1219*2</f>
        <v>0.008</v>
      </c>
    </row>
    <row r="1222" spans="1:14" ht="15">
      <c r="A1222" s="15" t="s">
        <v>7</v>
      </c>
      <c r="B1222" s="21">
        <f>+(B1220^2)-4*B1219*B1221</f>
        <v>1.024004096E-05</v>
      </c>
      <c r="G1222" s="45">
        <f>+D1221*G1220</f>
        <v>6.111923029365434E-05</v>
      </c>
      <c r="M1222" s="57">
        <f>+M1220*M1221^2</f>
        <v>6.387505152E-06</v>
      </c>
      <c r="N1222" s="57">
        <f>+N1220*N1221^2</f>
        <v>6.656E-06</v>
      </c>
    </row>
    <row r="1223" spans="1:10" ht="15">
      <c r="A1223" s="15" t="s">
        <v>6</v>
      </c>
      <c r="B1223" s="21">
        <f>+SQRT(B1222)</f>
        <v>0.0032000063999936</v>
      </c>
      <c r="G1223" s="21">
        <f>+D1221*G1221</f>
        <v>0.01045124136815426</v>
      </c>
      <c r="J1223" s="42">
        <f>+D1219*390</f>
        <v>4.561467671612072</v>
      </c>
    </row>
    <row r="1224" spans="1:11" ht="15">
      <c r="A1224" s="30" t="s">
        <v>8</v>
      </c>
      <c r="B1224" s="50">
        <f>+(-B1220+B1223)/(2*B1219)</f>
        <v>0.0004008007999992</v>
      </c>
      <c r="C1224" s="50">
        <f>+SQRT(0.00000064/4)</f>
        <v>0.0004</v>
      </c>
      <c r="G1224" s="21">
        <f>+D1221*4</f>
        <v>0.4467842838114059</v>
      </c>
      <c r="J1224" s="21">
        <f>+J1223/390</f>
        <v>0.011696070952851467</v>
      </c>
      <c r="K1224" s="21"/>
    </row>
    <row r="1225" spans="1:7" ht="15">
      <c r="A1225" s="30" t="s">
        <v>9</v>
      </c>
      <c r="B1225" s="21">
        <f>+(-B1220-B1223)/(2*B1219)</f>
        <v>-0.00039920079999919997</v>
      </c>
      <c r="G1225" s="21"/>
    </row>
    <row r="1226" ht="15">
      <c r="G1226" s="21"/>
    </row>
    <row r="1228" spans="1:6" ht="18.75">
      <c r="A1228" s="85" t="s">
        <v>8</v>
      </c>
      <c r="B1228" s="85" t="s">
        <v>8</v>
      </c>
      <c r="C1228" s="85" t="s">
        <v>9</v>
      </c>
      <c r="D1228" s="85" t="s">
        <v>9</v>
      </c>
      <c r="E1228" s="85"/>
      <c r="F1228" s="85"/>
    </row>
    <row r="1229" spans="1:11" ht="15">
      <c r="A1229" s="7" t="s">
        <v>0</v>
      </c>
      <c r="B1229" s="7" t="s">
        <v>2</v>
      </c>
      <c r="C1229" s="7" t="s">
        <v>4</v>
      </c>
      <c r="D1229" s="7" t="s">
        <v>227</v>
      </c>
      <c r="E1229" s="7"/>
      <c r="F1229" s="7"/>
      <c r="J1229" s="7" t="s">
        <v>218</v>
      </c>
      <c r="K1229" s="7"/>
    </row>
    <row r="1230" spans="1:11" ht="15">
      <c r="A1230" s="7" t="s">
        <v>134</v>
      </c>
      <c r="B1230" s="7" t="s">
        <v>137</v>
      </c>
      <c r="C1230" s="7" t="s">
        <v>138</v>
      </c>
      <c r="D1230" s="7" t="s">
        <v>219</v>
      </c>
      <c r="E1230" s="7"/>
      <c r="F1230" s="7"/>
      <c r="J1230" s="129">
        <f>0.32*30*60/96485</f>
        <v>0.005969839871482614</v>
      </c>
      <c r="K1230" s="129"/>
    </row>
    <row r="1231" spans="1:11" ht="15">
      <c r="A1231" s="81">
        <v>1.358</v>
      </c>
      <c r="B1231" s="81">
        <v>1.229</v>
      </c>
      <c r="C1231" s="81">
        <v>-0.828</v>
      </c>
      <c r="D1231" s="81">
        <v>-2.93</v>
      </c>
      <c r="E1231" s="163"/>
      <c r="F1231" s="163"/>
      <c r="J1231" s="129">
        <f>+J1230/2</f>
        <v>0.002984919935741307</v>
      </c>
      <c r="K1231" s="129"/>
    </row>
    <row r="1232" spans="1:11" ht="15">
      <c r="A1232" s="78">
        <f>+LOG10(1/(0.5))</f>
        <v>0.3010299956639812</v>
      </c>
      <c r="B1232" s="78">
        <f>+LOG10(1*(0.0000001)^4)</f>
        <v>-28</v>
      </c>
      <c r="C1232" s="78">
        <f>+LOG10(1/0.0000001^2)</f>
        <v>14</v>
      </c>
      <c r="D1232" s="78">
        <f>+LOG10(0.5)</f>
        <v>-0.3010299956639812</v>
      </c>
      <c r="E1232" s="162"/>
      <c r="F1232" s="162"/>
      <c r="J1232" s="129">
        <f>+J1231/2</f>
        <v>0.0014924599678706534</v>
      </c>
      <c r="K1232" s="129"/>
    </row>
    <row r="1233" spans="1:11" ht="15">
      <c r="A1233" s="86">
        <f>A1231+0.05916/2*A1232</f>
        <v>1.3669044672717408</v>
      </c>
      <c r="B1233" s="86">
        <f>B1231+0.05916/4*B1232</f>
        <v>0.81488</v>
      </c>
      <c r="C1233" s="86">
        <f>C1231+0.05916/2*C1232</f>
        <v>-0.41387999999999997</v>
      </c>
      <c r="D1233" s="91">
        <f>D1231+0.05916/1*D1232</f>
        <v>-2.9478089345434815</v>
      </c>
      <c r="E1233" s="91"/>
      <c r="F1233" s="91"/>
      <c r="J1233" s="32">
        <f>+J1232*0.0821*273.15</f>
        <v>0.03346933264237964</v>
      </c>
      <c r="K1233" s="32"/>
    </row>
    <row r="1234" spans="2:3" ht="15">
      <c r="B1234" s="78">
        <v>0.1</v>
      </c>
      <c r="C1234" s="78">
        <v>0.32</v>
      </c>
    </row>
    <row r="1235" spans="2:3" ht="15">
      <c r="B1235" s="86">
        <f>+B1233+B1234</f>
        <v>0.91488</v>
      </c>
      <c r="C1235" s="86">
        <f>+C1233+C1234</f>
        <v>-0.09387999999999996</v>
      </c>
    </row>
    <row r="1237" spans="1:6" ht="15">
      <c r="A1237" s="51"/>
      <c r="B1237" s="54"/>
      <c r="C1237" s="35"/>
      <c r="D1237" s="54"/>
      <c r="E1237" s="54"/>
      <c r="F1237" s="54"/>
    </row>
    <row r="1238" spans="1:6" ht="15">
      <c r="A1238" s="128" t="s">
        <v>228</v>
      </c>
      <c r="B1238" s="88">
        <f>+C1235-A1233</f>
        <v>-1.4607844672717407</v>
      </c>
      <c r="C1238" s="35"/>
      <c r="D1238" s="54"/>
      <c r="E1238" s="54"/>
      <c r="F1238" s="54"/>
    </row>
    <row r="1239" spans="1:2" ht="15">
      <c r="A1239" s="128" t="s">
        <v>229</v>
      </c>
      <c r="B1239" s="88">
        <f>+D1233-A1233</f>
        <v>-4.314713401815222</v>
      </c>
    </row>
    <row r="1240" spans="1:2" ht="15">
      <c r="A1240" s="87"/>
      <c r="B1240" s="88"/>
    </row>
    <row r="1241" spans="1:4" ht="15">
      <c r="A1241" s="128" t="s">
        <v>230</v>
      </c>
      <c r="B1241" s="88">
        <f>+C1235-B1235</f>
        <v>-1.00876</v>
      </c>
      <c r="D1241" s="20">
        <f>100/18.02</f>
        <v>5.549389567147614</v>
      </c>
    </row>
    <row r="1242" spans="1:2" ht="15">
      <c r="A1242" s="87"/>
      <c r="B1242" s="88"/>
    </row>
    <row r="1243" spans="1:2" ht="15">
      <c r="A1243" s="128" t="s">
        <v>231</v>
      </c>
      <c r="B1243" s="88">
        <f>+D1233*B1235</f>
        <v>-2.6968914380351405</v>
      </c>
    </row>
    <row r="1245" spans="8:10" ht="15">
      <c r="H1245" s="99" t="s">
        <v>254</v>
      </c>
      <c r="I1245" s="7" t="s">
        <v>255</v>
      </c>
      <c r="J1245" s="7" t="s">
        <v>35</v>
      </c>
    </row>
    <row r="1246" spans="1:15" ht="15">
      <c r="A1246" s="68" t="s">
        <v>220</v>
      </c>
      <c r="B1246" s="32">
        <f>0.1*0.5</f>
        <v>0.05</v>
      </c>
      <c r="D1246" s="68" t="s">
        <v>224</v>
      </c>
      <c r="E1246" s="68"/>
      <c r="F1246" s="68"/>
      <c r="G1246" s="21">
        <v>0.011</v>
      </c>
      <c r="H1246" s="153">
        <f>+G1247*G1253/G1252</f>
        <v>17.19323583930288</v>
      </c>
      <c r="I1246" s="153">
        <f>+G1248*G1253/G1251</f>
        <v>6.224448254987161</v>
      </c>
      <c r="K1246" s="152" t="s">
        <v>247</v>
      </c>
      <c r="L1246" s="15" t="s">
        <v>0</v>
      </c>
      <c r="M1246" s="35">
        <v>1</v>
      </c>
      <c r="N1246" s="21">
        <f>+G1246*-G1251</f>
        <v>-3.478505426185214E-05</v>
      </c>
      <c r="O1246" s="46"/>
    </row>
    <row r="1247" spans="1:15" ht="15">
      <c r="A1247" s="68"/>
      <c r="B1247" s="32"/>
      <c r="D1247" s="68" t="s">
        <v>252</v>
      </c>
      <c r="E1247" s="68"/>
      <c r="F1247" s="68"/>
      <c r="G1247" s="35">
        <v>0.1</v>
      </c>
      <c r="J1247" s="152"/>
      <c r="K1247" s="152"/>
      <c r="L1247" s="15"/>
      <c r="M1247" s="35"/>
      <c r="N1247" s="21"/>
      <c r="O1247" s="46"/>
    </row>
    <row r="1248" spans="1:15" ht="15">
      <c r="A1248" s="68" t="s">
        <v>221</v>
      </c>
      <c r="B1248" s="32">
        <f>0.15*0.1</f>
        <v>0.015</v>
      </c>
      <c r="D1248" s="68" t="s">
        <v>248</v>
      </c>
      <c r="E1248" s="68"/>
      <c r="F1248" s="68"/>
      <c r="G1248" s="43">
        <v>0.028119190948028477</v>
      </c>
      <c r="H1248" s="42"/>
      <c r="L1248" s="15" t="s">
        <v>2</v>
      </c>
      <c r="M1248" s="21">
        <f>G1246</f>
        <v>0.011</v>
      </c>
      <c r="N1248" s="21">
        <f>+G1251^2</f>
        <v>9.99999999999998E-06</v>
      </c>
      <c r="O1248" s="46"/>
    </row>
    <row r="1249" spans="1:14" ht="15">
      <c r="A1249" s="68" t="s">
        <v>222</v>
      </c>
      <c r="B1249" s="31">
        <f>+B1248*2/6</f>
        <v>0.005</v>
      </c>
      <c r="D1249" s="68" t="s">
        <v>249</v>
      </c>
      <c r="E1249" s="68"/>
      <c r="F1249" s="68"/>
      <c r="G1249" s="44">
        <f>-LOG10(G1248)</f>
        <v>1.55099717909537</v>
      </c>
      <c r="L1249" s="15" t="s">
        <v>4</v>
      </c>
      <c r="M1249" s="21">
        <v>-0.0011</v>
      </c>
      <c r="N1249" s="21">
        <f>+N1248-N1246</f>
        <v>4.478505426185212E-05</v>
      </c>
    </row>
    <row r="1250" spans="1:14" ht="15">
      <c r="A1250" s="68" t="s">
        <v>223</v>
      </c>
      <c r="B1250" s="31">
        <f>+B1249/0.6</f>
        <v>0.008333333333333333</v>
      </c>
      <c r="D1250" s="68" t="s">
        <v>250</v>
      </c>
      <c r="E1250" s="68"/>
      <c r="F1250" s="68"/>
      <c r="G1250" s="44">
        <v>2.5</v>
      </c>
      <c r="L1250" s="15" t="s">
        <v>7</v>
      </c>
      <c r="M1250" s="21">
        <f>+(M1248^2)-4*M1246*M1249</f>
        <v>0.004521</v>
      </c>
      <c r="N1250" s="21">
        <f>+N1249/G1246</f>
        <v>0.0040713685692592835</v>
      </c>
    </row>
    <row r="1251" spans="4:14" ht="15">
      <c r="D1251" s="68" t="s">
        <v>251</v>
      </c>
      <c r="E1251" s="68"/>
      <c r="F1251" s="68"/>
      <c r="G1251" s="65">
        <f>10^-G1250</f>
        <v>0.0031622776601683764</v>
      </c>
      <c r="H1251" s="21"/>
      <c r="L1251" s="15" t="s">
        <v>6</v>
      </c>
      <c r="M1251" s="21">
        <f>+SQRT(M1250)</f>
        <v>0.06723838189605695</v>
      </c>
      <c r="N1251" s="21">
        <f>0.7*0.1/N1250</f>
        <v>17.19323583930288</v>
      </c>
    </row>
    <row r="1252" spans="4:13" ht="15">
      <c r="D1252" s="68" t="s">
        <v>253</v>
      </c>
      <c r="E1252" s="68"/>
      <c r="F1252" s="68"/>
      <c r="G1252" s="21">
        <f>N1250</f>
        <v>0.0040713685692592835</v>
      </c>
      <c r="H1252" s="21"/>
      <c r="L1252" s="30" t="s">
        <v>8</v>
      </c>
      <c r="M1252" s="50">
        <f>+(-M1248+M1251)/(2*M1246)</f>
        <v>0.028119190948028477</v>
      </c>
    </row>
    <row r="1253" spans="4:13" ht="15">
      <c r="D1253" s="68" t="s">
        <v>246</v>
      </c>
      <c r="E1253" s="68"/>
      <c r="F1253" s="68"/>
      <c r="G1253" s="35">
        <v>0.7</v>
      </c>
      <c r="L1253" s="30" t="s">
        <v>9</v>
      </c>
      <c r="M1253" s="21">
        <f>+(-M1248-M1251)/(2*M1246)</f>
        <v>-0.03911919094802847</v>
      </c>
    </row>
    <row r="1254" spans="4:11" ht="15">
      <c r="D1254" s="68"/>
      <c r="E1254" s="68"/>
      <c r="F1254" s="68"/>
      <c r="G1254" s="42"/>
      <c r="I1254" s="30"/>
      <c r="J1254" s="21"/>
      <c r="K1254" s="21"/>
    </row>
    <row r="1255" spans="4:11" ht="15">
      <c r="D1255" s="68" t="s">
        <v>256</v>
      </c>
      <c r="E1255" s="68"/>
      <c r="F1255" s="68"/>
      <c r="G1255" s="42">
        <f>+M1252/G1247</f>
        <v>0.2811919094802848</v>
      </c>
      <c r="H1255" s="21">
        <f>+G1247*G1255^2/(1-G1255)</f>
        <v>0.011000000000000001</v>
      </c>
      <c r="I1255" s="30"/>
      <c r="J1255" s="21"/>
      <c r="K1255" s="21"/>
    </row>
    <row r="1256" spans="4:11" ht="15">
      <c r="D1256" s="68" t="s">
        <v>257</v>
      </c>
      <c r="E1256" s="68"/>
      <c r="F1256" s="68"/>
      <c r="G1256" s="42">
        <f>+G1251/G1252</f>
        <v>0.7767112228661969</v>
      </c>
      <c r="H1256" s="21">
        <f>+G1252*G1256^2/(1-G1256)</f>
        <v>0.011000000000000003</v>
      </c>
      <c r="I1256" s="30"/>
      <c r="J1256" s="21"/>
      <c r="K1256" s="21"/>
    </row>
    <row r="1257" spans="4:11" ht="15">
      <c r="D1257" s="68"/>
      <c r="E1257" s="68"/>
      <c r="F1257" s="68"/>
      <c r="G1257" s="42"/>
      <c r="I1257" s="30"/>
      <c r="J1257" s="21"/>
      <c r="K1257" s="21"/>
    </row>
    <row r="1258" spans="4:11" ht="15">
      <c r="D1258" s="68"/>
      <c r="E1258" s="68"/>
      <c r="F1258" s="68"/>
      <c r="G1258" s="42"/>
      <c r="I1258" s="30"/>
      <c r="J1258" s="21"/>
      <c r="K1258" s="21"/>
    </row>
    <row r="1259" spans="4:11" ht="15">
      <c r="D1259" s="68"/>
      <c r="E1259" s="68"/>
      <c r="F1259" s="68"/>
      <c r="G1259" s="58"/>
      <c r="I1259" s="30"/>
      <c r="J1259" s="21"/>
      <c r="K1259" s="21"/>
    </row>
    <row r="1260" spans="4:11" ht="15">
      <c r="D1260" s="68"/>
      <c r="E1260" s="68"/>
      <c r="F1260" s="68"/>
      <c r="G1260" s="42"/>
      <c r="I1260" s="30"/>
      <c r="J1260" s="21"/>
      <c r="K1260" s="21"/>
    </row>
    <row r="1261" spans="1:8" ht="15">
      <c r="A1261" s="68" t="s">
        <v>63</v>
      </c>
      <c r="B1261" s="58">
        <f>2000/22.4</f>
        <v>89.28571428571429</v>
      </c>
      <c r="C1261" s="20">
        <v>-17.889</v>
      </c>
      <c r="D1261" s="35">
        <f>+C1261*4.1858</f>
        <v>-74.87977620000001</v>
      </c>
      <c r="E1261" s="35"/>
      <c r="F1261" s="35"/>
      <c r="G1261" s="31"/>
      <c r="H1261" s="42">
        <f>+C1261-(-0.0821*273.15)</f>
        <v>4.536615000000001</v>
      </c>
    </row>
    <row r="1262" spans="1:8" ht="15">
      <c r="A1262" s="68" t="s">
        <v>64</v>
      </c>
      <c r="C1262" s="20">
        <v>-94.052</v>
      </c>
      <c r="D1262" s="35">
        <f>+C1262*4.1858</f>
        <v>-393.6828616000001</v>
      </c>
      <c r="E1262" s="35"/>
      <c r="F1262" s="35"/>
      <c r="H1262" s="20">
        <f>+H1261*B1261</f>
        <v>405.0549107142858</v>
      </c>
    </row>
    <row r="1263" spans="1:6" ht="15">
      <c r="A1263" s="68" t="s">
        <v>82</v>
      </c>
      <c r="C1263" s="20">
        <v>-57.798</v>
      </c>
      <c r="D1263" s="35">
        <f>+C1263*4.1858</f>
        <v>-241.93086840000004</v>
      </c>
      <c r="E1263" s="35"/>
      <c r="F1263" s="35"/>
    </row>
    <row r="1264" spans="3:6" ht="15">
      <c r="C1264" s="20">
        <f>+(C1262+C1263*2)-C1261</f>
        <v>-191.75900000000001</v>
      </c>
      <c r="D1264" s="35">
        <f>+C1264*4.1858</f>
        <v>-802.6648222000001</v>
      </c>
      <c r="E1264" s="35"/>
      <c r="F1264" s="35"/>
    </row>
    <row r="1265" spans="3:4" ht="15">
      <c r="C1265" s="21">
        <f>+C1264*B1261</f>
        <v>-17121.33928571429</v>
      </c>
      <c r="D1265" s="20" t="s">
        <v>225</v>
      </c>
    </row>
    <row r="1266" spans="3:4" ht="15">
      <c r="C1266" s="21">
        <f>+C1265*4.1858</f>
        <v>-71666.50198214289</v>
      </c>
      <c r="D1266" s="20" t="s">
        <v>226</v>
      </c>
    </row>
    <row r="1268" ht="15">
      <c r="B1268" s="20" t="s">
        <v>259</v>
      </c>
    </row>
    <row r="1269" spans="1:16" ht="15">
      <c r="A1269" s="20" t="s">
        <v>258</v>
      </c>
      <c r="B1269" s="21">
        <v>9.1093897E-31</v>
      </c>
      <c r="C1269" s="20">
        <v>6</v>
      </c>
      <c r="D1269" s="21">
        <f>+C1269*$B1269</f>
        <v>5.4656338199999996E-30</v>
      </c>
      <c r="E1269" s="21"/>
      <c r="F1269" s="21"/>
      <c r="H1269" s="20">
        <v>6</v>
      </c>
      <c r="I1269" s="21">
        <f>+H1269*$B1269</f>
        <v>5.4656338199999996E-30</v>
      </c>
      <c r="K1269" s="20">
        <v>12</v>
      </c>
      <c r="L1269" s="21">
        <f>+K1269*$B1269</f>
        <v>1.0931267639999999E-29</v>
      </c>
      <c r="M1269" s="20">
        <v>12</v>
      </c>
      <c r="N1269" s="21">
        <f>+M1269*$B1269</f>
        <v>1.0931267639999999E-29</v>
      </c>
      <c r="O1269" s="20">
        <v>12</v>
      </c>
      <c r="P1269" s="21">
        <f>+O1269*$B1269</f>
        <v>1.0931267639999999E-29</v>
      </c>
    </row>
    <row r="1270" spans="1:16" ht="15">
      <c r="A1270" s="20" t="s">
        <v>260</v>
      </c>
      <c r="B1270" s="21">
        <v>1.6726231E-27</v>
      </c>
      <c r="C1270" s="20">
        <v>6</v>
      </c>
      <c r="D1270" s="21">
        <f>+C1270*$B1270</f>
        <v>1.00357386E-26</v>
      </c>
      <c r="E1270" s="21"/>
      <c r="F1270" s="21"/>
      <c r="H1270" s="20">
        <v>6</v>
      </c>
      <c r="I1270" s="21">
        <f>+H1270*$B1270</f>
        <v>1.00357386E-26</v>
      </c>
      <c r="K1270" s="20">
        <v>12</v>
      </c>
      <c r="L1270" s="21">
        <f aca="true" t="shared" si="2" ref="L1270:N1271">+K1270*$B1270</f>
        <v>2.00714772E-26</v>
      </c>
      <c r="M1270" s="20">
        <v>12</v>
      </c>
      <c r="N1270" s="21">
        <f t="shared" si="2"/>
        <v>2.00714772E-26</v>
      </c>
      <c r="O1270" s="20">
        <v>12</v>
      </c>
      <c r="P1270" s="21">
        <f>+O1270*$B1270</f>
        <v>2.00714772E-26</v>
      </c>
    </row>
    <row r="1271" spans="1:16" ht="15">
      <c r="A1271" s="20" t="s">
        <v>32</v>
      </c>
      <c r="B1271" s="21">
        <v>1.6749543E-27</v>
      </c>
      <c r="C1271" s="20">
        <v>6</v>
      </c>
      <c r="D1271" s="21">
        <f>+C1271*$B1271</f>
        <v>1.00497258E-26</v>
      </c>
      <c r="E1271" s="21"/>
      <c r="F1271" s="21"/>
      <c r="H1271" s="20">
        <v>7</v>
      </c>
      <c r="I1271" s="21">
        <f>+H1271*$B1271</f>
        <v>1.17246801E-26</v>
      </c>
      <c r="K1271" s="20">
        <v>12</v>
      </c>
      <c r="L1271" s="21">
        <f t="shared" si="2"/>
        <v>2.00994516E-26</v>
      </c>
      <c r="M1271" s="20">
        <v>13</v>
      </c>
      <c r="N1271" s="21">
        <f t="shared" si="2"/>
        <v>2.1774405900000002E-26</v>
      </c>
      <c r="O1271" s="20">
        <v>14</v>
      </c>
      <c r="P1271" s="21">
        <f>+O1271*$B1271</f>
        <v>2.34493602E-26</v>
      </c>
    </row>
    <row r="1272" spans="4:16" ht="15">
      <c r="D1272" s="21">
        <f>SUM(D1269:D1271)</f>
        <v>2.009093003382E-26</v>
      </c>
      <c r="E1272" s="21"/>
      <c r="F1272" s="21"/>
      <c r="G1272" s="20" t="s">
        <v>259</v>
      </c>
      <c r="I1272" s="21">
        <f>SUM(I1269:I1271)</f>
        <v>2.176588433382E-26</v>
      </c>
      <c r="L1272" s="21">
        <f>SUM(L1269:L1271)</f>
        <v>4.018186006764E-26</v>
      </c>
      <c r="N1272" s="21">
        <f>SUM(N1269:N1271)</f>
        <v>4.185681436764E-26</v>
      </c>
      <c r="P1272" s="21">
        <f>SUM(P1269:P1271)</f>
        <v>4.353176866764E-26</v>
      </c>
    </row>
    <row r="1273" spans="4:16" ht="15">
      <c r="D1273" s="21">
        <f>+D1272*1000</f>
        <v>2.009093003382E-23</v>
      </c>
      <c r="E1273" s="21"/>
      <c r="F1273" s="21"/>
      <c r="G1273" s="20" t="s">
        <v>261</v>
      </c>
      <c r="I1273" s="21">
        <f>+I1272*1000</f>
        <v>2.1765884333820001E-23</v>
      </c>
      <c r="L1273" s="21">
        <f>+L1272*1000</f>
        <v>4.018186006764E-23</v>
      </c>
      <c r="N1273" s="21">
        <f>+N1272*1000</f>
        <v>4.1856814367639996E-23</v>
      </c>
      <c r="P1273" s="21">
        <f>+P1272*1000</f>
        <v>4.3531768667640003E-23</v>
      </c>
    </row>
    <row r="1274" spans="2:16" ht="15">
      <c r="B1274" s="7" t="s">
        <v>261</v>
      </c>
      <c r="D1274" s="21">
        <f>+D1273/12</f>
        <v>1.674244169485E-24</v>
      </c>
      <c r="E1274" s="21"/>
      <c r="F1274" s="21"/>
      <c r="G1274" s="20" t="s">
        <v>262</v>
      </c>
      <c r="I1274" s="21"/>
      <c r="L1274" s="21"/>
      <c r="N1274" s="21"/>
      <c r="P1274" s="21"/>
    </row>
    <row r="1275" spans="1:16" ht="15">
      <c r="A1275" s="20" t="s">
        <v>258</v>
      </c>
      <c r="B1275" s="64">
        <f>+B1269*1000</f>
        <v>9.109389699999998E-28</v>
      </c>
      <c r="D1275" s="21">
        <f>+D1273/$D$1274</f>
        <v>12</v>
      </c>
      <c r="E1275" s="21"/>
      <c r="F1275" s="21"/>
      <c r="G1275" s="20" t="s">
        <v>263</v>
      </c>
      <c r="I1275" s="21">
        <f>+I1273/$D$1274</f>
        <v>13.000424149910716</v>
      </c>
      <c r="L1275" s="21">
        <f>+L1273/$D$1274</f>
        <v>24</v>
      </c>
      <c r="N1275" s="21">
        <f>+N1273/$D$1274</f>
        <v>25.000424149910714</v>
      </c>
      <c r="P1275" s="21">
        <f>+P1273/$D$1274</f>
        <v>26.00084829982143</v>
      </c>
    </row>
    <row r="1276" spans="1:17" ht="15">
      <c r="A1276" s="20" t="s">
        <v>260</v>
      </c>
      <c r="B1276" s="64">
        <f>+B1270*1000</f>
        <v>1.6726231000000002E-24</v>
      </c>
      <c r="D1276" s="20">
        <f>+D1275*98.89</f>
        <v>1186.68</v>
      </c>
      <c r="I1276" s="20">
        <f>+I1275*1.11</f>
        <v>14.430470806400896</v>
      </c>
      <c r="J1276" s="20">
        <f>SUM(D1276:I1276)</f>
        <v>1201.110470806401</v>
      </c>
      <c r="L1276" s="20">
        <f>+L1275*78.99</f>
        <v>1895.7599999999998</v>
      </c>
      <c r="N1276" s="20">
        <f>+N1275*10</f>
        <v>250.00424149910714</v>
      </c>
      <c r="P1276" s="20">
        <f>+P1275*11.01</f>
        <v>286.269339781034</v>
      </c>
      <c r="Q1276" s="20">
        <f>SUM(L1276:P1276)</f>
        <v>2432.033581280141</v>
      </c>
    </row>
    <row r="1277" spans="1:2" ht="15">
      <c r="A1277" s="20" t="s">
        <v>32</v>
      </c>
      <c r="B1277" s="64">
        <f>+B1271*1000</f>
        <v>1.6749543E-24</v>
      </c>
    </row>
    <row r="1281" spans="1:6" ht="15">
      <c r="A1281" s="20" t="s">
        <v>266</v>
      </c>
      <c r="B1281" s="20">
        <v>124.09</v>
      </c>
      <c r="C1281" s="21">
        <f>(1.0692-0.0027*96.09*2)*166.22</f>
        <v>91.47319307999997</v>
      </c>
      <c r="D1281" s="21">
        <f>+C1282-C1281</f>
        <v>-4.801733440399985</v>
      </c>
      <c r="E1281" s="21"/>
      <c r="F1281" s="21"/>
    </row>
    <row r="1282" spans="1:13" ht="15">
      <c r="A1282" s="20" t="s">
        <v>264</v>
      </c>
      <c r="B1282" s="20">
        <v>166.22</v>
      </c>
      <c r="C1282" s="21">
        <f>+B1284*B1281*B1282</f>
        <v>86.67145963959999</v>
      </c>
      <c r="D1282" s="20">
        <f>-B1282+B1281</f>
        <v>-42.129999999999995</v>
      </c>
      <c r="J1282" s="7" t="s">
        <v>268</v>
      </c>
      <c r="L1282" s="7" t="s">
        <v>270</v>
      </c>
      <c r="M1282" s="7" t="s">
        <v>269</v>
      </c>
    </row>
    <row r="1283" spans="1:10" ht="15">
      <c r="A1283" s="20" t="s">
        <v>267</v>
      </c>
      <c r="B1283" s="20">
        <v>96.09</v>
      </c>
      <c r="D1283" s="41">
        <f>+D1281/D1282</f>
        <v>0.11397420936149978</v>
      </c>
      <c r="E1283" s="41"/>
      <c r="F1283" s="41"/>
      <c r="G1283" s="42">
        <f>+D1283/$D$1286*100</f>
        <v>10.659765185325456</v>
      </c>
      <c r="H1283" s="20" t="s">
        <v>264</v>
      </c>
      <c r="J1283" s="46">
        <f>+D1283/B1282</f>
        <v>0.0006856828863042942</v>
      </c>
    </row>
    <row r="1284" spans="1:13" ht="15">
      <c r="A1284" s="20" t="s">
        <v>265</v>
      </c>
      <c r="B1284" s="20">
        <f>38.2*0.11/1000</f>
        <v>0.004202</v>
      </c>
      <c r="D1284" s="41">
        <f>(1.0692-0.0027*96.09*2)-D1283</f>
        <v>0.4363397906385001</v>
      </c>
      <c r="E1284" s="41"/>
      <c r="F1284" s="41"/>
      <c r="G1284" s="42">
        <f>+D1284/$D$1286*100</f>
        <v>40.80993178437151</v>
      </c>
      <c r="H1284" s="20" t="s">
        <v>266</v>
      </c>
      <c r="J1284" s="46">
        <f>+D1284/B1281</f>
        <v>0.0035163171136957053</v>
      </c>
      <c r="L1284" s="46"/>
      <c r="M1284" s="46">
        <f>+J1284*2</f>
        <v>0.007032634227391411</v>
      </c>
    </row>
    <row r="1285" spans="1:13" ht="15">
      <c r="A1285" s="20" t="s">
        <v>271</v>
      </c>
      <c r="B1285" s="46">
        <f>+((41.1*0.25/1000)-(27.5*0.05/1000))*2</f>
        <v>0.017800000000000003</v>
      </c>
      <c r="D1285" s="41">
        <f>0.0027*B1283*2</f>
        <v>0.5188860000000001</v>
      </c>
      <c r="E1285" s="41"/>
      <c r="F1285" s="41"/>
      <c r="G1285" s="42">
        <f>+D1285/$D$1286*100</f>
        <v>48.53030303030304</v>
      </c>
      <c r="H1285" s="20" t="s">
        <v>267</v>
      </c>
      <c r="J1285" s="158">
        <f>+J1283+J1284</f>
        <v>0.004201999999999999</v>
      </c>
      <c r="L1285" s="21">
        <f>+D1285/B1283</f>
        <v>0.0054</v>
      </c>
      <c r="M1285" s="46">
        <f>+L1285*2</f>
        <v>0.0108</v>
      </c>
    </row>
    <row r="1286" spans="4:13" ht="15">
      <c r="D1286" s="32">
        <f>+D1283+D1284+D1285</f>
        <v>1.0692</v>
      </c>
      <c r="E1286" s="32"/>
      <c r="F1286" s="32"/>
      <c r="G1286" s="42">
        <f>+G1283+G1284+G1285</f>
        <v>100</v>
      </c>
      <c r="L1286" s="46"/>
      <c r="M1286" s="46">
        <f>+M1284+M1285</f>
        <v>0.01783263422739141</v>
      </c>
    </row>
    <row r="1287" ht="15">
      <c r="M1287" s="46"/>
    </row>
    <row r="1288" spans="13:14" ht="15">
      <c r="M1288" s="160" t="s">
        <v>279</v>
      </c>
      <c r="N1288" s="160" t="s">
        <v>280</v>
      </c>
    </row>
    <row r="1289" spans="1:16" ht="15">
      <c r="A1289" s="57">
        <v>1E-14</v>
      </c>
      <c r="B1289" s="21">
        <f>5/84</f>
        <v>0.05952380952380952</v>
      </c>
      <c r="C1289" s="15" t="s">
        <v>0</v>
      </c>
      <c r="D1289" s="35">
        <v>1</v>
      </c>
      <c r="E1289" s="35"/>
      <c r="F1289" s="35"/>
      <c r="H1289" s="21">
        <f>+SQRT(A1290*A1293)</f>
        <v>4.598912915026767E-09</v>
      </c>
      <c r="I1289" s="21" t="s">
        <v>10</v>
      </c>
      <c r="J1289" s="46">
        <f>10^-3.8/H1291</f>
        <v>352.19848721358045</v>
      </c>
      <c r="K1289" s="21">
        <v>0.5</v>
      </c>
      <c r="L1289" s="20" t="s">
        <v>274</v>
      </c>
      <c r="M1289" s="21">
        <f>+K1289*0.05025</f>
        <v>0.025125</v>
      </c>
      <c r="N1289" s="21">
        <f>+M1289-$A$1308</f>
        <v>0.025122570403083543</v>
      </c>
      <c r="P1289" s="21">
        <f>+M1289+B1306</f>
        <v>0.02593664383561644</v>
      </c>
    </row>
    <row r="1290" spans="1:16" ht="15">
      <c r="A1290" s="57">
        <v>4.5E-07</v>
      </c>
      <c r="B1290" s="21">
        <f>+B1289/0.05</f>
        <v>1.1904761904761902</v>
      </c>
      <c r="C1290" s="15" t="s">
        <v>2</v>
      </c>
      <c r="D1290" s="57">
        <f>A1291</f>
        <v>2.2222222222222224E-08</v>
      </c>
      <c r="E1290" s="57"/>
      <c r="F1290" s="57"/>
      <c r="H1290" s="42">
        <f>-LOG10(H1289)</f>
        <v>8.337344814144469</v>
      </c>
      <c r="I1290" s="58" t="s">
        <v>12</v>
      </c>
      <c r="K1290" s="21">
        <v>0.1</v>
      </c>
      <c r="L1290" s="20" t="s">
        <v>273</v>
      </c>
      <c r="M1290" s="21">
        <f>+K1290*0.05025</f>
        <v>0.005025000000000001</v>
      </c>
      <c r="N1290" s="21">
        <f>+M1290+$A$1308</f>
        <v>0.005027429596916461</v>
      </c>
      <c r="P1290" s="21">
        <f>+M1290-B1306</f>
        <v>0.004213356164383562</v>
      </c>
    </row>
    <row r="1291" spans="1:17" ht="15">
      <c r="A1291" s="57">
        <f>+A1289/A1290</f>
        <v>2.2222222222222224E-08</v>
      </c>
      <c r="B1291" s="57">
        <f>+B1290*A1291</f>
        <v>2.6455026455026453E-08</v>
      </c>
      <c r="C1291" s="15" t="s">
        <v>4</v>
      </c>
      <c r="D1291" s="57">
        <f>-B1291</f>
        <v>-2.6455026455026453E-08</v>
      </c>
      <c r="E1291" s="57"/>
      <c r="F1291" s="57"/>
      <c r="H1291" s="57">
        <f>A1290</f>
        <v>4.5E-07</v>
      </c>
      <c r="I1291" s="20" t="s">
        <v>272</v>
      </c>
      <c r="K1291" s="21">
        <f>A1289/A1290*K1290/K1289</f>
        <v>4.444444444444445E-09</v>
      </c>
      <c r="L1291" s="21" t="s">
        <v>19</v>
      </c>
      <c r="M1291" s="42"/>
      <c r="N1291" s="21">
        <f>A1289/A1290*N1290/N1289</f>
        <v>4.447023370488479E-09</v>
      </c>
      <c r="O1291" s="21" t="s">
        <v>19</v>
      </c>
      <c r="P1291" s="21">
        <f>A1289/A1290*P1290/P1289</f>
        <v>3.609955766818512E-09</v>
      </c>
      <c r="Q1291" s="21" t="s">
        <v>19</v>
      </c>
    </row>
    <row r="1292" spans="3:17" ht="15">
      <c r="C1292" s="15" t="s">
        <v>7</v>
      </c>
      <c r="D1292" s="21">
        <f>+(D1290^2)-4*D1289*D1291</f>
        <v>1.0582010631393297E-07</v>
      </c>
      <c r="E1292" s="21"/>
      <c r="F1292" s="21"/>
      <c r="H1292" s="57">
        <f>A1293</f>
        <v>4.7E-11</v>
      </c>
      <c r="I1292" s="20" t="s">
        <v>17</v>
      </c>
      <c r="K1292" s="42">
        <f>-LOG10(K1291)</f>
        <v>8.352182518111363</v>
      </c>
      <c r="L1292" s="58" t="s">
        <v>18</v>
      </c>
      <c r="N1292" s="42">
        <f>-LOG10(N1291)</f>
        <v>8.35193058819273</v>
      </c>
      <c r="O1292" s="58" t="s">
        <v>18</v>
      </c>
      <c r="P1292" s="42">
        <f>-LOG10(P1291)</f>
        <v>8.442498119519364</v>
      </c>
      <c r="Q1292" s="58" t="s">
        <v>18</v>
      </c>
    </row>
    <row r="1293" spans="1:17" ht="15">
      <c r="A1293" s="57">
        <v>4.7E-11</v>
      </c>
      <c r="C1293" s="15" t="s">
        <v>6</v>
      </c>
      <c r="D1293" s="21">
        <f>+SQRT(D1292)</f>
        <v>0.0003253000250752111</v>
      </c>
      <c r="E1293" s="21"/>
      <c r="F1293" s="21"/>
      <c r="H1293" s="46">
        <f>B1290</f>
        <v>1.1904761904761902</v>
      </c>
      <c r="I1293" s="20" t="s">
        <v>273</v>
      </c>
      <c r="K1293" s="42">
        <f>14-K1292</f>
        <v>5.647817481888637</v>
      </c>
      <c r="L1293" s="21" t="s">
        <v>12</v>
      </c>
      <c r="N1293" s="42">
        <f>14-N1292</f>
        <v>5.6480694118072705</v>
      </c>
      <c r="O1293" s="21" t="s">
        <v>12</v>
      </c>
      <c r="P1293" s="42">
        <f>14-P1292</f>
        <v>5.557501880480636</v>
      </c>
      <c r="Q1293" s="21" t="s">
        <v>12</v>
      </c>
    </row>
    <row r="1294" spans="3:16" ht="15">
      <c r="C1294" s="30" t="s">
        <v>8</v>
      </c>
      <c r="D1294" s="50">
        <f>+(-D1290+D1293)/(2*D1289)</f>
        <v>0.00016263890142649445</v>
      </c>
      <c r="E1294" s="50"/>
      <c r="F1294" s="50"/>
      <c r="H1294" s="21">
        <f>+H1293*H1289/H1291</f>
        <v>0.012166436283139594</v>
      </c>
      <c r="I1294" s="20" t="s">
        <v>274</v>
      </c>
      <c r="J1294" s="46"/>
      <c r="L1294" s="50"/>
      <c r="P1294" s="42">
        <f>+P1293-K1293</f>
        <v>-0.0903156014080011</v>
      </c>
    </row>
    <row r="1295" spans="3:12" ht="15">
      <c r="C1295" s="30" t="s">
        <v>9</v>
      </c>
      <c r="D1295" s="21">
        <f>+(-D1290-D1293)/(2*D1289)</f>
        <v>-0.00016266112364871665</v>
      </c>
      <c r="E1295" s="21"/>
      <c r="F1295" s="21"/>
      <c r="H1295" s="21">
        <f>+H1292*H1293/H1289</f>
        <v>0.012166436283139594</v>
      </c>
      <c r="I1295" s="20" t="s">
        <v>275</v>
      </c>
      <c r="L1295" s="21"/>
    </row>
    <row r="1296" spans="8:9" ht="15">
      <c r="H1296" s="58">
        <f>-LOG10(H1291)</f>
        <v>6.346787486224656</v>
      </c>
      <c r="I1296" s="20" t="s">
        <v>276</v>
      </c>
    </row>
    <row r="1297" spans="8:9" ht="15">
      <c r="H1297" s="58">
        <f>+H1296-1</f>
        <v>5.346787486224656</v>
      </c>
      <c r="I1297" s="20">
        <v>-1</v>
      </c>
    </row>
    <row r="1298" spans="8:9" ht="15">
      <c r="H1298" s="58">
        <f>+H1296+1</f>
        <v>7.346787486224656</v>
      </c>
      <c r="I1298" s="20">
        <v>1</v>
      </c>
    </row>
    <row r="1299" spans="8:9" ht="15">
      <c r="H1299" s="46">
        <f>10^-H1297*B1290/A1290</f>
        <v>11.904761904761894</v>
      </c>
      <c r="I1299" s="20" t="s">
        <v>274</v>
      </c>
    </row>
    <row r="1300" spans="8:9" ht="15">
      <c r="H1300" s="46">
        <f>10^-H1298*B1290/A1290</f>
        <v>0.11904761904761889</v>
      </c>
      <c r="I1300" s="20" t="s">
        <v>274</v>
      </c>
    </row>
    <row r="1302" spans="1:11" ht="15">
      <c r="A1302" s="20">
        <f>5*0.892</f>
        <v>4.46</v>
      </c>
      <c r="B1302" s="42">
        <f>5*1.185</f>
        <v>5.925000000000001</v>
      </c>
      <c r="C1302" s="20">
        <f>0.05*5</f>
        <v>0.25</v>
      </c>
      <c r="D1302" s="20">
        <f>0.05*5</f>
        <v>0.25</v>
      </c>
      <c r="H1302" s="42">
        <f>5*1.185</f>
        <v>5.925000000000001</v>
      </c>
      <c r="J1302" s="21">
        <f>+B1289-D1304</f>
        <v>0.05871216568819308</v>
      </c>
      <c r="K1302" s="21">
        <f>+SQRT(A1290*A1293)</f>
        <v>4.598912915026767E-09</v>
      </c>
    </row>
    <row r="1303" spans="1:11" ht="15">
      <c r="A1303" s="21">
        <f>+A1302/17</f>
        <v>0.26235294117647057</v>
      </c>
      <c r="B1303" s="21">
        <f>+B1302/36.5</f>
        <v>0.1623287671232877</v>
      </c>
      <c r="C1303" s="20">
        <f>+C1302/1000</f>
        <v>0.00025</v>
      </c>
      <c r="D1303" s="20">
        <f>+D1302/1000</f>
        <v>0.00025</v>
      </c>
      <c r="H1303" s="21">
        <f>+H1302/36.5</f>
        <v>0.1623287671232877</v>
      </c>
      <c r="J1303" s="21">
        <f>+A1290*B1306/J1302</f>
        <v>6.220852556642216E-09</v>
      </c>
      <c r="K1303" s="42">
        <f>-LOG10(K1302)</f>
        <v>8.337344814144469</v>
      </c>
    </row>
    <row r="1304" spans="1:10" ht="15">
      <c r="A1304" s="71">
        <f>+A1303/0.05</f>
        <v>5.247058823529411</v>
      </c>
      <c r="B1304" s="71">
        <f>+B1303/0.05</f>
        <v>3.246575342465754</v>
      </c>
      <c r="C1304" s="21">
        <f>+A1304*C1303</f>
        <v>0.0013117647058823528</v>
      </c>
      <c r="D1304" s="21">
        <f>+H1304*D1303</f>
        <v>0.0008116438356164385</v>
      </c>
      <c r="E1304" s="21"/>
      <c r="F1304" s="21"/>
      <c r="H1304" s="71">
        <f>+H1303/0.05</f>
        <v>3.246575342465754</v>
      </c>
      <c r="J1304" s="42">
        <f>-LOG10(J1303)</f>
        <v>8.206150091953509</v>
      </c>
    </row>
    <row r="1305" spans="1:10" ht="15">
      <c r="A1305" s="21">
        <f>+SQRT(A1304*0.000018)</f>
        <v>0.009718387665838886</v>
      </c>
      <c r="B1305" s="42">
        <f>-LOG10(B1304)</f>
        <v>-0.5114254858896481</v>
      </c>
      <c r="C1305" s="20">
        <f>0.05+C1303</f>
        <v>0.05025</v>
      </c>
      <c r="D1305" s="20">
        <f>0.05+D1303</f>
        <v>0.05025</v>
      </c>
      <c r="H1305" s="42">
        <f>-LOG10(H1304)</f>
        <v>-0.5114254858896481</v>
      </c>
      <c r="J1305" s="42">
        <f>+J1304-K1303</f>
        <v>-0.13119472219096018</v>
      </c>
    </row>
    <row r="1306" spans="1:8" ht="15">
      <c r="A1306" s="42">
        <f>-LOG10(A1305)</f>
        <v>2.0124057809494222</v>
      </c>
      <c r="B1306" s="21">
        <f>+B1304*0.25/1000</f>
        <v>0.0008116438356164385</v>
      </c>
      <c r="C1306" s="21">
        <f>+C1304/C1305</f>
        <v>0.026104770266315476</v>
      </c>
      <c r="D1306" s="21">
        <f>+D1304/D1305</f>
        <v>0.016152116131670415</v>
      </c>
      <c r="E1306" s="21"/>
      <c r="F1306" s="21"/>
      <c r="H1306" s="42"/>
    </row>
    <row r="1307" spans="1:6" ht="15">
      <c r="A1307" s="58">
        <f>14-A1306</f>
        <v>11.987594219050578</v>
      </c>
      <c r="C1307" s="21">
        <f>+SQRT(C1306*0.000018)</f>
        <v>0.0006854822133313735</v>
      </c>
      <c r="D1307" s="42">
        <f>-LOG10(D1306)</f>
        <v>1.791770571530841</v>
      </c>
      <c r="E1307" s="42"/>
      <c r="F1307" s="42"/>
    </row>
    <row r="1308" spans="1:6" ht="15">
      <c r="A1308" s="21">
        <f>+A1305*0.25/1000</f>
        <v>2.4295969164597214E-06</v>
      </c>
      <c r="C1308" s="42">
        <f>-LOG10(C1307)</f>
        <v>3.164003809659667</v>
      </c>
      <c r="D1308" s="42">
        <f>+D1307-7</f>
        <v>-5.208229428469159</v>
      </c>
      <c r="E1308" s="42"/>
      <c r="F1308" s="42"/>
    </row>
    <row r="1309" spans="1:3" ht="15">
      <c r="A1309" s="21">
        <f>+K1289-A1308</f>
        <v>0.4999975704030835</v>
      </c>
      <c r="C1309" s="58">
        <f>14-C1308</f>
        <v>10.835996190340333</v>
      </c>
    </row>
    <row r="1310" ht="15">
      <c r="A1310" s="21">
        <f>+K1290+A1308</f>
        <v>0.10000242959691646</v>
      </c>
    </row>
    <row r="1311" ht="15">
      <c r="A1311" s="21">
        <f>A1289/A1290*A1310/A1309</f>
        <v>4.444574023576307E-09</v>
      </c>
    </row>
    <row r="1312" ht="15">
      <c r="A1312" s="42">
        <f>-LOG10(A1311)</f>
        <v>8.352169856308006</v>
      </c>
    </row>
    <row r="1313" ht="15">
      <c r="A1313" s="42">
        <f>14-A1312</f>
        <v>5.647830143691994</v>
      </c>
    </row>
    <row r="1315" spans="1:10" ht="15">
      <c r="A1315" s="68" t="s">
        <v>294</v>
      </c>
      <c r="B1315" s="20">
        <v>2.8</v>
      </c>
      <c r="C1315" s="20" t="s">
        <v>261</v>
      </c>
      <c r="D1315" s="159"/>
      <c r="E1315" s="163"/>
      <c r="F1315" s="163"/>
      <c r="G1315" s="7" t="s">
        <v>87</v>
      </c>
      <c r="J1315" s="7" t="s">
        <v>301</v>
      </c>
    </row>
    <row r="1316" spans="1:10" ht="15">
      <c r="A1316" s="68" t="s">
        <v>281</v>
      </c>
      <c r="B1316" s="20">
        <v>53.49</v>
      </c>
      <c r="G1316" s="31">
        <f>+C1322*B1322/1000</f>
        <v>0.0017383999999999998</v>
      </c>
      <c r="H1316" s="20" t="s">
        <v>290</v>
      </c>
      <c r="J1316" s="32">
        <f>G1318</f>
        <v>0.017383999999999997</v>
      </c>
    </row>
    <row r="1317" spans="1:8" ht="15">
      <c r="A1317" s="68" t="s">
        <v>282</v>
      </c>
      <c r="B1317" s="20">
        <v>89.09</v>
      </c>
      <c r="G1317" s="31">
        <f>+G1316</f>
        <v>0.0017383999999999998</v>
      </c>
      <c r="H1317" s="20" t="s">
        <v>291</v>
      </c>
    </row>
    <row r="1318" spans="1:8" ht="15">
      <c r="A1318" s="68" t="s">
        <v>283</v>
      </c>
      <c r="B1318" s="20">
        <v>14.007</v>
      </c>
      <c r="G1318" s="32">
        <f>+G1317*10</f>
        <v>0.017383999999999997</v>
      </c>
      <c r="H1318" s="20" t="s">
        <v>292</v>
      </c>
    </row>
    <row r="1319" spans="1:8" ht="15">
      <c r="A1319" s="68" t="s">
        <v>284</v>
      </c>
      <c r="B1319" s="20">
        <v>61.84</v>
      </c>
      <c r="G1319" s="42">
        <f>+G1318*B1316</f>
        <v>0.9298701599999999</v>
      </c>
      <c r="H1319" s="20" t="s">
        <v>293</v>
      </c>
    </row>
    <row r="1320" spans="1:3" ht="15">
      <c r="A1320" s="68" t="s">
        <v>285</v>
      </c>
      <c r="B1320" s="20">
        <v>46.5</v>
      </c>
      <c r="C1320" s="20" t="s">
        <v>286</v>
      </c>
    </row>
    <row r="1321" spans="1:10" ht="15">
      <c r="A1321" s="68" t="s">
        <v>287</v>
      </c>
      <c r="B1321" s="35">
        <f>46.5/B1319</f>
        <v>0.751940491591203</v>
      </c>
      <c r="C1321" s="58">
        <v>40</v>
      </c>
      <c r="G1321" s="7" t="s">
        <v>295</v>
      </c>
      <c r="J1321" s="7" t="s">
        <v>302</v>
      </c>
    </row>
    <row r="1322" spans="1:11" ht="15">
      <c r="A1322" s="68" t="s">
        <v>288</v>
      </c>
      <c r="B1322" s="32">
        <v>0.106</v>
      </c>
      <c r="C1322" s="20">
        <v>16.4</v>
      </c>
      <c r="G1322" s="31">
        <f>+C1323*B1323/1000</f>
        <v>0.0069759999999999996</v>
      </c>
      <c r="H1322" s="20" t="s">
        <v>297</v>
      </c>
      <c r="J1322" s="32">
        <f>+G1325-J1316</f>
        <v>0.020470000000000002</v>
      </c>
      <c r="K1322" s="20" t="s">
        <v>303</v>
      </c>
    </row>
    <row r="1323" spans="1:11" ht="15">
      <c r="A1323" s="68" t="s">
        <v>296</v>
      </c>
      <c r="B1323" s="20">
        <f>0.0872*2</f>
        <v>0.1744</v>
      </c>
      <c r="C1323" s="58">
        <v>40</v>
      </c>
      <c r="G1323" s="31">
        <f>+C1324*B1324/1000</f>
        <v>0.0031906</v>
      </c>
      <c r="H1323" s="20" t="s">
        <v>298</v>
      </c>
      <c r="J1323" s="58">
        <f>+J1322*B1317</f>
        <v>1.8236723000000004</v>
      </c>
      <c r="K1323" s="20" t="s">
        <v>304</v>
      </c>
    </row>
    <row r="1324" spans="1:8" ht="15">
      <c r="A1324" s="68" t="s">
        <v>289</v>
      </c>
      <c r="B1324" s="32">
        <v>0.106</v>
      </c>
      <c r="C1324" s="20">
        <v>30.1</v>
      </c>
      <c r="G1324" s="31">
        <f>+G1322-G1323</f>
        <v>0.0037853999999999995</v>
      </c>
      <c r="H1324" s="20" t="s">
        <v>299</v>
      </c>
    </row>
    <row r="1325" spans="7:8" ht="15">
      <c r="G1325" s="32">
        <f>+G1324*10</f>
        <v>0.037854</v>
      </c>
      <c r="H1325" s="20" t="s">
        <v>300</v>
      </c>
    </row>
    <row r="1327" spans="7:9" ht="15">
      <c r="G1327" s="51" t="s">
        <v>305</v>
      </c>
      <c r="H1327" s="51" t="s">
        <v>306</v>
      </c>
      <c r="I1327" s="51" t="s">
        <v>307</v>
      </c>
    </row>
    <row r="1328" spans="7:9" ht="15">
      <c r="G1328" s="161">
        <f>+G1319/B1315*100</f>
        <v>33.209648571428566</v>
      </c>
      <c r="H1328" s="161">
        <f>+J1323/B1315*100</f>
        <v>65.13115357142858</v>
      </c>
      <c r="I1328" s="161">
        <f>100-G1328-H1328</f>
        <v>1.6591978571428427</v>
      </c>
    </row>
    <row r="1329" ht="15">
      <c r="A1329" s="20">
        <v>0.05916</v>
      </c>
    </row>
    <row r="1330" spans="1:8" ht="15">
      <c r="A1330" s="319" t="s">
        <v>519</v>
      </c>
      <c r="B1330" s="319"/>
      <c r="C1330" s="319"/>
      <c r="D1330" s="319" t="s">
        <v>520</v>
      </c>
      <c r="E1330" s="319"/>
      <c r="F1330" s="319"/>
      <c r="G1330" s="319"/>
      <c r="H1330" s="319"/>
    </row>
    <row r="1331" spans="1:8" ht="15">
      <c r="A1331" s="262">
        <v>1</v>
      </c>
      <c r="B1331" s="262">
        <v>2</v>
      </c>
      <c r="C1331" s="262">
        <v>3</v>
      </c>
      <c r="D1331" s="262">
        <v>4</v>
      </c>
      <c r="E1331" s="262">
        <v>5</v>
      </c>
      <c r="F1331" s="262">
        <v>6</v>
      </c>
      <c r="G1331" s="262">
        <v>7</v>
      </c>
      <c r="H1331" s="262">
        <v>8</v>
      </c>
    </row>
    <row r="1332" spans="1:8" ht="15">
      <c r="A1332" s="164">
        <v>2.01</v>
      </c>
      <c r="B1332" s="171">
        <v>0.4</v>
      </c>
      <c r="C1332" s="164">
        <v>1.23</v>
      </c>
      <c r="D1332" s="164">
        <v>0.34</v>
      </c>
      <c r="E1332" s="164">
        <v>-0.76</v>
      </c>
      <c r="F1332" s="171">
        <v>0.8</v>
      </c>
      <c r="G1332" s="164">
        <v>0</v>
      </c>
      <c r="H1332" s="164">
        <v>-0.83</v>
      </c>
    </row>
    <row r="1333" spans="1:8" ht="15">
      <c r="A1333" s="196">
        <v>1</v>
      </c>
      <c r="B1333" s="196">
        <v>1E-13</v>
      </c>
      <c r="C1333" s="196">
        <v>0.1</v>
      </c>
      <c r="D1333" s="196">
        <v>0.01</v>
      </c>
      <c r="E1333" s="196">
        <v>0.1</v>
      </c>
      <c r="F1333" s="196">
        <v>0.0001</v>
      </c>
      <c r="G1333" s="196">
        <v>0.1</v>
      </c>
      <c r="H1333" s="196">
        <v>1E-13</v>
      </c>
    </row>
    <row r="1334" spans="1:8" ht="15">
      <c r="A1334" s="251">
        <f>+A1332+$A$1329/4*LOG(1/A1333^4)</f>
        <v>2.01</v>
      </c>
      <c r="B1334" s="251">
        <f>+B1332+$A$1329/4*LOG(1/B1333^4)</f>
        <v>1.1690800000000001</v>
      </c>
      <c r="C1334" s="251">
        <f>+C1332+$A$1329/4*LOG(C1333^4)</f>
        <v>1.1708399999999999</v>
      </c>
      <c r="D1334" s="251">
        <f>+D1332+$A$1329/2*LOG(D1333)</f>
        <v>0.28084000000000003</v>
      </c>
      <c r="E1334" s="251">
        <f>+E1332+$A$1329/2*LOG(E1333)</f>
        <v>-0.7895800000000001</v>
      </c>
      <c r="F1334" s="251">
        <f>+F1332+$A$1329/1*LOG(F1333)</f>
        <v>0.5633600000000001</v>
      </c>
      <c r="G1334" s="265">
        <f>+G1332+$A$1329/2*LOG(G1333^2)</f>
        <v>-0.05916</v>
      </c>
      <c r="H1334" s="265">
        <f>+H1332+$A$1329/2*LOG(1/H1333^2)</f>
        <v>-0.060919999999999974</v>
      </c>
    </row>
    <row r="1335" spans="2:8" ht="15">
      <c r="B1335" s="7" t="s">
        <v>58</v>
      </c>
      <c r="C1335" s="7" t="s">
        <v>59</v>
      </c>
      <c r="D1335" s="7" t="s">
        <v>62</v>
      </c>
      <c r="E1335" s="7" t="s">
        <v>521</v>
      </c>
      <c r="F1335" s="7" t="s">
        <v>60</v>
      </c>
      <c r="G1335" s="7" t="s">
        <v>148</v>
      </c>
      <c r="H1335" s="7" t="s">
        <v>149</v>
      </c>
    </row>
    <row r="1337" ht="15">
      <c r="B1337" s="204" t="s">
        <v>522</v>
      </c>
    </row>
    <row r="1338" ht="15">
      <c r="B1338" s="259">
        <f>+F1334-B1334</f>
        <v>-0.60572</v>
      </c>
    </row>
    <row r="1340" ht="15.75" thickBot="1"/>
    <row r="1341" spans="1:7" ht="15">
      <c r="A1341" s="266"/>
      <c r="B1341" s="267"/>
      <c r="C1341" s="268" t="s">
        <v>514</v>
      </c>
      <c r="D1341" s="268"/>
      <c r="E1341" s="267"/>
      <c r="F1341" s="267"/>
      <c r="G1341" s="218"/>
    </row>
    <row r="1342" spans="1:7" ht="15">
      <c r="A1342" s="222"/>
      <c r="B1342" s="109"/>
      <c r="C1342" s="264" t="s">
        <v>515</v>
      </c>
      <c r="D1342" s="264" t="s">
        <v>523</v>
      </c>
      <c r="E1342" s="109"/>
      <c r="F1342" s="109"/>
      <c r="G1342" s="219"/>
    </row>
    <row r="1343" spans="1:7" ht="15">
      <c r="A1343" s="221"/>
      <c r="B1343" s="109"/>
      <c r="C1343" s="269" t="s">
        <v>516</v>
      </c>
      <c r="D1343" s="269"/>
      <c r="E1343" s="109"/>
      <c r="F1343" s="109"/>
      <c r="G1343" s="219"/>
    </row>
    <row r="1344" spans="1:7" ht="15.75" thickBot="1">
      <c r="A1344" s="270">
        <v>0.01</v>
      </c>
      <c r="B1344" s="109"/>
      <c r="C1344" s="109"/>
      <c r="D1344" s="109"/>
      <c r="E1344" s="109"/>
      <c r="F1344" s="106"/>
      <c r="G1344" s="219"/>
    </row>
    <row r="1345" spans="1:11" ht="15.75" thickTop="1">
      <c r="A1345" s="271">
        <v>1.8E-05</v>
      </c>
      <c r="B1345" s="272" t="s">
        <v>10</v>
      </c>
      <c r="C1345" s="179">
        <v>349.65</v>
      </c>
      <c r="D1345" s="275">
        <f>+$A$1349*0.01*1000</f>
        <v>0.41535951739062005</v>
      </c>
      <c r="E1345" s="275">
        <f>1*D1345</f>
        <v>0.41535951739062005</v>
      </c>
      <c r="F1345" s="356">
        <f>+E1345+E1346</f>
        <v>2.41535951739062</v>
      </c>
      <c r="G1345" s="276">
        <f>+E1345*C1345</f>
        <v>145.2304552556303</v>
      </c>
      <c r="H1345" s="358">
        <f>+G1345+G1346</f>
        <v>245.3904552556303</v>
      </c>
      <c r="I1345" s="282">
        <f>+D1345/1000*C1345/1000</f>
        <v>0.0001452304552556303</v>
      </c>
      <c r="J1345" s="311">
        <f>+I1345+I1346</f>
        <v>0.0002453904552556303</v>
      </c>
      <c r="K1345" s="21">
        <f>+C1345*A1349*0.01/1000</f>
        <v>0.0001452304552556303</v>
      </c>
    </row>
    <row r="1346" spans="1:11" ht="15">
      <c r="A1346" s="271">
        <v>-1.8E-05</v>
      </c>
      <c r="B1346" s="272" t="s">
        <v>145</v>
      </c>
      <c r="C1346" s="179">
        <v>50.08</v>
      </c>
      <c r="D1346" s="276">
        <f>0.002*1000</f>
        <v>2</v>
      </c>
      <c r="E1346" s="275">
        <f>1*D1346</f>
        <v>2</v>
      </c>
      <c r="F1346" s="356"/>
      <c r="G1346" s="276">
        <f>+E1346*C1346</f>
        <v>100.16</v>
      </c>
      <c r="H1346" s="356"/>
      <c r="I1346" s="203">
        <f>0.002*C1346/1000</f>
        <v>0.00010016</v>
      </c>
      <c r="J1346" s="312"/>
      <c r="K1346" s="21">
        <f>2*C1346*0.001/1000</f>
        <v>0.00010016</v>
      </c>
    </row>
    <row r="1347" spans="1:11" ht="15">
      <c r="A1347" s="221">
        <f>+(A1345^2)-4*A1344*A1346</f>
        <v>7.20324E-07</v>
      </c>
      <c r="B1347" s="277" t="s">
        <v>88</v>
      </c>
      <c r="C1347" s="278">
        <v>40.9</v>
      </c>
      <c r="D1347" s="279">
        <f>+$A$1349*0.01*1000</f>
        <v>0.41535951739062005</v>
      </c>
      <c r="E1347" s="279">
        <f>1*D1347</f>
        <v>0.41535951739062005</v>
      </c>
      <c r="F1347" s="357">
        <f>+E1347+E1348</f>
        <v>2.41535951739062</v>
      </c>
      <c r="G1347" s="278">
        <f>+E1347*C1347</f>
        <v>16.98820426127636</v>
      </c>
      <c r="H1347" s="357">
        <f>+G1347+G1348</f>
        <v>176.98820426127637</v>
      </c>
      <c r="I1347" s="203">
        <f>+D1347/1000*C1347/1000</f>
        <v>1.698820426127636E-05</v>
      </c>
      <c r="J1347" s="312">
        <f>+I1347+I1348</f>
        <v>0.00017698820426127637</v>
      </c>
      <c r="K1347" s="21">
        <f>+C1347*A1349*0.01/1000</f>
        <v>1.698820426127636E-05</v>
      </c>
    </row>
    <row r="1348" spans="1:11" ht="15">
      <c r="A1348" s="221">
        <f>+SQRT(A1347)</f>
        <v>0.0008487190347812402</v>
      </c>
      <c r="B1348" s="277" t="s">
        <v>513</v>
      </c>
      <c r="C1348" s="278">
        <v>160</v>
      </c>
      <c r="D1348" s="278">
        <f>0.001*1000</f>
        <v>1</v>
      </c>
      <c r="E1348" s="279">
        <f>2*D1348</f>
        <v>2</v>
      </c>
      <c r="F1348" s="357"/>
      <c r="G1348" s="278">
        <f>+E1348/2*C1348</f>
        <v>160</v>
      </c>
      <c r="H1348" s="357"/>
      <c r="I1348" s="203">
        <f>0.001*C1348/1000</f>
        <v>0.00016</v>
      </c>
      <c r="J1348" s="312"/>
      <c r="K1348" s="21">
        <f>C1348*0.001/1000</f>
        <v>0.00016</v>
      </c>
    </row>
    <row r="1349" spans="1:12" ht="15">
      <c r="A1349" s="222">
        <f>+(-A1345+A1348)/(2*A1344)</f>
        <v>0.04153595173906201</v>
      </c>
      <c r="B1349" s="109"/>
      <c r="C1349" s="109"/>
      <c r="D1349" s="109"/>
      <c r="E1349" s="106"/>
      <c r="F1349" s="109"/>
      <c r="G1349" s="219"/>
      <c r="H1349" s="281">
        <f>+H1345+H1347</f>
        <v>422.3786595169066</v>
      </c>
      <c r="I1349" s="281"/>
      <c r="J1349" s="285">
        <f>+J1345+J1347</f>
        <v>0.00042237865951690664</v>
      </c>
      <c r="K1349" s="21">
        <f>SUM(K1345:K1348)</f>
        <v>0.00042237865951690664</v>
      </c>
      <c r="L1349" s="20" t="s">
        <v>518</v>
      </c>
    </row>
    <row r="1350" spans="1:12" ht="15.75" thickBot="1">
      <c r="A1350" s="221">
        <f>+(-A1345-A1348)/(2*A1344)</f>
        <v>-0.04333595173906201</v>
      </c>
      <c r="B1350" s="109"/>
      <c r="C1350" s="109"/>
      <c r="D1350" s="109"/>
      <c r="E1350" s="109"/>
      <c r="F1350" s="109"/>
      <c r="G1350" s="219"/>
      <c r="H1350" s="283" t="s">
        <v>533</v>
      </c>
      <c r="I1350" s="284"/>
      <c r="J1350" s="286" t="s">
        <v>534</v>
      </c>
      <c r="K1350" s="281">
        <f>+K1349*1000000</f>
        <v>422.3786595169066</v>
      </c>
      <c r="L1350" s="20" t="s">
        <v>533</v>
      </c>
    </row>
    <row r="1351" spans="1:7" ht="15.75" thickTop="1">
      <c r="A1351" s="230"/>
      <c r="B1351" s="133" t="s">
        <v>523</v>
      </c>
      <c r="C1351" s="109"/>
      <c r="D1351" s="109"/>
      <c r="E1351" s="109"/>
      <c r="F1351" s="109"/>
      <c r="G1351" s="219"/>
    </row>
    <row r="1352" spans="1:7" ht="15">
      <c r="A1352" s="230" t="s">
        <v>524</v>
      </c>
      <c r="B1352" s="179">
        <v>3.219</v>
      </c>
      <c r="C1352" s="179">
        <v>118.94</v>
      </c>
      <c r="D1352" s="179">
        <f>2*B1352</f>
        <v>6.438</v>
      </c>
      <c r="E1352" s="363">
        <f>SUM(D1352:D1356)</f>
        <v>7.389641999999999</v>
      </c>
      <c r="F1352" s="179">
        <f>+C1352/2*D1352</f>
        <v>382.86785999999995</v>
      </c>
      <c r="G1352" s="365">
        <f>SUM(F1352:F1356)</f>
        <v>432.4680371999999</v>
      </c>
    </row>
    <row r="1353" spans="1:7" ht="15">
      <c r="A1353" s="230" t="s">
        <v>525</v>
      </c>
      <c r="B1353" s="179">
        <v>0.2016</v>
      </c>
      <c r="C1353" s="179">
        <v>106</v>
      </c>
      <c r="D1353" s="179">
        <f>2*B1353</f>
        <v>0.4032</v>
      </c>
      <c r="E1353" s="363"/>
      <c r="F1353" s="273">
        <f>+C1353/2*D1353</f>
        <v>21.3696</v>
      </c>
      <c r="G1353" s="365"/>
    </row>
    <row r="1354" spans="1:7" ht="15">
      <c r="A1354" s="230" t="s">
        <v>526</v>
      </c>
      <c r="B1354" s="179">
        <v>0.005706</v>
      </c>
      <c r="C1354" s="179">
        <v>118.8</v>
      </c>
      <c r="D1354" s="179">
        <f>2*B1354</f>
        <v>0.011412</v>
      </c>
      <c r="E1354" s="363"/>
      <c r="F1354" s="179">
        <f>+C1354/2*D1354</f>
        <v>0.6778728</v>
      </c>
      <c r="G1354" s="365"/>
    </row>
    <row r="1355" spans="1:7" ht="15">
      <c r="A1355" s="230" t="s">
        <v>527</v>
      </c>
      <c r="B1355" s="179">
        <v>0.5089</v>
      </c>
      <c r="C1355" s="179">
        <v>50.08</v>
      </c>
      <c r="D1355" s="179">
        <f>1*B1355</f>
        <v>0.5089</v>
      </c>
      <c r="E1355" s="363"/>
      <c r="F1355" s="179">
        <f>+C1355*D1355</f>
        <v>25.485712</v>
      </c>
      <c r="G1355" s="365"/>
    </row>
    <row r="1356" spans="1:7" ht="15">
      <c r="A1356" s="230" t="s">
        <v>528</v>
      </c>
      <c r="B1356" s="179">
        <v>0.02813</v>
      </c>
      <c r="C1356" s="179">
        <v>73.48</v>
      </c>
      <c r="D1356" s="179">
        <f>1*B1356</f>
        <v>0.02813</v>
      </c>
      <c r="E1356" s="363"/>
      <c r="F1356" s="179">
        <f>+C1356*D1356</f>
        <v>2.0669924</v>
      </c>
      <c r="G1356" s="365"/>
    </row>
    <row r="1357" spans="1:7" ht="15">
      <c r="A1357" s="230" t="s">
        <v>529</v>
      </c>
      <c r="B1357" s="274">
        <v>0.6403</v>
      </c>
      <c r="C1357" s="274">
        <v>76.31</v>
      </c>
      <c r="D1357" s="274">
        <f>1*B1357</f>
        <v>0.6403</v>
      </c>
      <c r="E1357" s="364">
        <f>SUM(D1357:D1360)</f>
        <v>7.3909</v>
      </c>
      <c r="F1357" s="274">
        <f>+C1357*D1357</f>
        <v>48.861293</v>
      </c>
      <c r="G1357" s="366">
        <f>SUM(F1357:F1360)</f>
        <v>376.59544500000004</v>
      </c>
    </row>
    <row r="1358" spans="1:7" ht="15">
      <c r="A1358" s="230" t="s">
        <v>530</v>
      </c>
      <c r="B1358" s="274">
        <v>0.2258</v>
      </c>
      <c r="C1358" s="274">
        <v>71.44</v>
      </c>
      <c r="D1358" s="274">
        <f>1*B1358</f>
        <v>0.2258</v>
      </c>
      <c r="E1358" s="364"/>
      <c r="F1358" s="274">
        <f>+C1358*D1358</f>
        <v>16.131152</v>
      </c>
      <c r="G1358" s="366"/>
    </row>
    <row r="1359" spans="1:7" ht="15">
      <c r="A1359" s="230" t="s">
        <v>531</v>
      </c>
      <c r="B1359" s="274">
        <v>6.098</v>
      </c>
      <c r="C1359" s="274">
        <v>45.5</v>
      </c>
      <c r="D1359" s="274">
        <f>1*B1359</f>
        <v>6.098</v>
      </c>
      <c r="E1359" s="364"/>
      <c r="F1359" s="274">
        <f>+C1359*D1359</f>
        <v>277.459</v>
      </c>
      <c r="G1359" s="366"/>
    </row>
    <row r="1360" spans="1:7" ht="15">
      <c r="A1360" s="230" t="s">
        <v>532</v>
      </c>
      <c r="B1360" s="274">
        <v>0.2134</v>
      </c>
      <c r="C1360" s="274">
        <v>160</v>
      </c>
      <c r="D1360" s="274">
        <f>2*B1360</f>
        <v>0.4268</v>
      </c>
      <c r="E1360" s="364"/>
      <c r="F1360" s="274">
        <f>+C1360/2*D1360</f>
        <v>34.144</v>
      </c>
      <c r="G1360" s="366"/>
    </row>
    <row r="1361" spans="1:7" ht="15.75" thickBot="1">
      <c r="A1361" s="231"/>
      <c r="B1361" s="223"/>
      <c r="C1361" s="223"/>
      <c r="D1361" s="223"/>
      <c r="E1361" s="223"/>
      <c r="F1361" s="223"/>
      <c r="G1361" s="280">
        <f>SUM(G1352:G1360)</f>
        <v>809.0634822</v>
      </c>
    </row>
    <row r="1364" spans="4:7" ht="15">
      <c r="D1364" s="20">
        <v>4.74</v>
      </c>
      <c r="E1364" s="46">
        <f>10^-D1364</f>
        <v>1.8197008586099817E-05</v>
      </c>
      <c r="F1364" s="20">
        <f>+E1364*D1365</f>
        <v>1.00083547223549E-05</v>
      </c>
      <c r="G1364" s="35">
        <v>1</v>
      </c>
    </row>
    <row r="1365" spans="4:7" ht="15">
      <c r="D1365" s="20">
        <v>0.55</v>
      </c>
      <c r="E1365" s="20">
        <f>+SQRT(E1364*D1365)</f>
        <v>0.003163598381962366</v>
      </c>
      <c r="G1365" s="57">
        <f>E1364</f>
        <v>1.8197008586099817E-05</v>
      </c>
    </row>
    <row r="1366" spans="5:7" ht="15">
      <c r="E1366" s="42">
        <f>-LOG10(E1365)</f>
        <v>2.4998186552528785</v>
      </c>
      <c r="G1366" s="57">
        <f>-F1364</f>
        <v>-1.00083547223549E-05</v>
      </c>
    </row>
    <row r="1367" spans="5:7" ht="15">
      <c r="E1367" s="44">
        <f>14-E1366</f>
        <v>11.500181344747121</v>
      </c>
      <c r="G1367" s="21">
        <f>+(G1365^2)-4*G1364*G1366</f>
        <v>4.0033750020541084E-05</v>
      </c>
    </row>
    <row r="1368" ht="15">
      <c r="G1368" s="21">
        <f>+SQRT(G1367)</f>
        <v>0.006327222931155586</v>
      </c>
    </row>
    <row r="1369" spans="7:9" ht="15">
      <c r="G1369" s="50">
        <f>+(-G1365+G1368)/(2*G1364)</f>
        <v>0.003154512961284743</v>
      </c>
      <c r="H1369" s="20">
        <f>-LOG10(G1369)</f>
        <v>2.5010676838221513</v>
      </c>
      <c r="I1369" s="44">
        <f>14-H1369</f>
        <v>11.498932316177848</v>
      </c>
    </row>
    <row r="1370" ht="15">
      <c r="G1370" s="21">
        <f>+(-G1365-G1368)/(2*G1364)</f>
        <v>-0.003172709969870843</v>
      </c>
    </row>
    <row r="1371" spans="4:6" ht="15">
      <c r="D1371" s="20">
        <f>0.55-0.025</f>
        <v>0.525</v>
      </c>
      <c r="E1371" s="20">
        <f>0.00000000000001/E1364*0.9/D1365</f>
        <v>8.992487026761138E-10</v>
      </c>
      <c r="F1371" s="21">
        <f>0.00000000000001/E1364*0.025/D1371</f>
        <v>2.6168613040839292E-11</v>
      </c>
    </row>
    <row r="1372" spans="5:6" ht="15">
      <c r="E1372" s="44">
        <f>-LOG10(E1371)</f>
        <v>9.046120180054919</v>
      </c>
      <c r="F1372" s="54">
        <f>-LOG10(F1371)</f>
        <v>10.58221929473392</v>
      </c>
    </row>
    <row r="1374" spans="4:7" ht="15">
      <c r="D1374" s="21">
        <f>0.00000000000001/E1364</f>
        <v>5.495408738576251E-10</v>
      </c>
      <c r="E1374" s="20">
        <f>+D1374*0.9</f>
        <v>4.945867864718626E-10</v>
      </c>
      <c r="G1374" s="35">
        <v>1</v>
      </c>
    </row>
    <row r="1375" spans="5:7" ht="15">
      <c r="E1375" s="21">
        <f>+D1365-D1374</f>
        <v>0.5499999994504592</v>
      </c>
      <c r="G1375" s="57">
        <f>E1375</f>
        <v>0.5499999994504592</v>
      </c>
    </row>
    <row r="1376" ht="15">
      <c r="G1376" s="57">
        <f>-E1374</f>
        <v>-4.945867864718626E-10</v>
      </c>
    </row>
    <row r="1377" ht="15">
      <c r="G1377" s="21">
        <f>+(G1375^2)-4*G1374*G1376</f>
        <v>0.30250000137385225</v>
      </c>
    </row>
    <row r="1378" ht="15">
      <c r="G1378" s="21">
        <f>+SQRT(G1377)</f>
        <v>0.5500000012489565</v>
      </c>
    </row>
    <row r="1379" spans="7:8" ht="15">
      <c r="G1379" s="50">
        <f>+(-G1375+G1378)/(2*G1374)</f>
        <v>8.992486755232676E-10</v>
      </c>
      <c r="H1379" s="44">
        <f>-LOG10(G1379)</f>
        <v>9.046120193168456</v>
      </c>
    </row>
    <row r="1380" ht="15">
      <c r="G1380" s="21">
        <f>+(-G1375-G1378)/(2*G1374)</f>
        <v>-0.5500000003497079</v>
      </c>
    </row>
    <row r="1382" spans="4:5" ht="15">
      <c r="D1382" s="20">
        <v>3.39</v>
      </c>
      <c r="E1382" s="46">
        <f>10^-D1382</f>
        <v>0.00040738027780411217</v>
      </c>
    </row>
    <row r="1383" spans="4:5" ht="15">
      <c r="D1383" s="32">
        <f>9/152.15</f>
        <v>0.05915215248110417</v>
      </c>
      <c r="E1383" s="20">
        <f>+SQRT(E1382*D1384)</f>
        <v>0.007761671905985111</v>
      </c>
    </row>
    <row r="1384" spans="4:5" ht="15">
      <c r="D1384" s="35">
        <f>+D1383*1000/400</f>
        <v>0.14788038120276042</v>
      </c>
      <c r="E1384" s="44">
        <f>-LOG10(E1383)</f>
        <v>2.110044719291412</v>
      </c>
    </row>
    <row r="1386" spans="4:7" ht="15">
      <c r="D1386" s="20">
        <v>6</v>
      </c>
      <c r="E1386" s="21">
        <f>+E1382*D1393/D1391</f>
        <v>0.0008116400811714538</v>
      </c>
      <c r="F1386" s="21">
        <f>+D1391*1000/406</f>
        <v>0.04868930330752991</v>
      </c>
      <c r="G1386" s="35">
        <v>1</v>
      </c>
    </row>
    <row r="1387" spans="4:7" ht="15">
      <c r="D1387" s="20">
        <v>15</v>
      </c>
      <c r="E1387" s="43">
        <f>-LOG10(E1386)</f>
        <v>3.090636514371838</v>
      </c>
      <c r="F1387" s="21">
        <f>+D1393*1000/406</f>
        <v>0.09700565354248036</v>
      </c>
      <c r="G1387" s="57">
        <f>F1390-F1389</f>
        <v>0.09700565356583227</v>
      </c>
    </row>
    <row r="1388" spans="4:7" ht="15">
      <c r="D1388" s="20">
        <v>1.23</v>
      </c>
      <c r="F1388" s="21">
        <f>0.00000000000001/E1382</f>
        <v>2.4547089156850338E-11</v>
      </c>
      <c r="G1388" s="57">
        <f>-F1389</f>
        <v>-1.1951806692748646E-12</v>
      </c>
    </row>
    <row r="1389" spans="4:7" ht="15">
      <c r="D1389" s="20">
        <f>+D1386*D1388</f>
        <v>7.38</v>
      </c>
      <c r="F1389" s="21">
        <f>+F1388*F1386</f>
        <v>1.1951806692748646E-12</v>
      </c>
      <c r="G1389" s="21">
        <f>+(G1387^2)-4*G1386*G1388</f>
        <v>0.009410096828514989</v>
      </c>
    </row>
    <row r="1390" spans="4:7" ht="15">
      <c r="D1390" s="20">
        <f>+D1389*D1387/100</f>
        <v>1.107</v>
      </c>
      <c r="F1390" s="21">
        <f>+F1387+F1388</f>
        <v>0.09700565356702745</v>
      </c>
      <c r="G1390" s="21">
        <f>+SQRT(G1389)</f>
        <v>0.09700565359047374</v>
      </c>
    </row>
    <row r="1391" spans="4:9" ht="15">
      <c r="D1391" s="32">
        <f>+D1390/56</f>
        <v>0.019767857142857143</v>
      </c>
      <c r="G1391" s="50">
        <f>+(-G1387+G1390)/(2*G1386)</f>
        <v>1.2320734710247194E-11</v>
      </c>
      <c r="H1391" s="42">
        <f>-LOG10(G1391)</f>
        <v>10.909363393543975</v>
      </c>
      <c r="I1391" s="43">
        <f>14-H1391</f>
        <v>3.090636606456025</v>
      </c>
    </row>
    <row r="1392" spans="4:7" ht="15">
      <c r="D1392" s="32">
        <f>+D1384*0.4</f>
        <v>0.05915215248110417</v>
      </c>
      <c r="G1392" s="21">
        <f>+(-G1387-G1390)/(2*G1386)</f>
        <v>-0.097005653578153</v>
      </c>
    </row>
    <row r="1393" ht="15">
      <c r="D1393" s="32">
        <f>+D1392-D1391</f>
        <v>0.03938429533824703</v>
      </c>
    </row>
    <row r="1395" ht="15">
      <c r="E1395" s="51"/>
    </row>
    <row r="1396" spans="4:7" ht="15">
      <c r="D1396" s="21">
        <f>105.08/278</f>
        <v>0.37798561151079135</v>
      </c>
      <c r="E1396" s="60">
        <f>1000*1.125</f>
        <v>1125</v>
      </c>
      <c r="F1396" s="42">
        <f>2.11/(E1399*1.86)</f>
        <v>1.0713426521933107</v>
      </c>
      <c r="G1396" s="21">
        <f>+(D1397*F1397^2)/(1-F1397)</f>
        <v>0.005919025694744037</v>
      </c>
    </row>
    <row r="1397" spans="4:6" ht="15">
      <c r="D1397" s="44">
        <f>+D1396/0.35</f>
        <v>1.0799588900308326</v>
      </c>
      <c r="E1397" s="42">
        <f>+E1396-105.08</f>
        <v>1019.92</v>
      </c>
      <c r="F1397" s="43">
        <f>+F1396-1</f>
        <v>0.07134265219331071</v>
      </c>
    </row>
    <row r="1398" ht="15">
      <c r="E1398" s="20">
        <f>+E1397/1000</f>
        <v>1.01992</v>
      </c>
    </row>
    <row r="1399" ht="15">
      <c r="E1399" s="44">
        <f>+D1397/E1398</f>
        <v>1.0588662738556285</v>
      </c>
    </row>
    <row r="1402" spans="4:8" ht="15">
      <c r="D1402" s="20">
        <f>0.00000000000002-0.00000000000001</f>
        <v>1E-14</v>
      </c>
      <c r="E1402" s="35">
        <v>1</v>
      </c>
      <c r="H1402" s="20">
        <f>0.00000096+0.0000001</f>
        <v>1.06E-06</v>
      </c>
    </row>
    <row r="1403" spans="5:8" ht="15">
      <c r="E1403" s="57">
        <v>-3E-07</v>
      </c>
      <c r="H1403" s="20">
        <f>+H1402*0.0000001</f>
        <v>1.06E-13</v>
      </c>
    </row>
    <row r="1404" ht="15">
      <c r="E1404" s="57">
        <v>1E-14</v>
      </c>
    </row>
    <row r="1405" ht="15">
      <c r="E1405" s="21">
        <f>+(E1403^2)-4*E1402*E1404</f>
        <v>4.9999999999999995E-14</v>
      </c>
    </row>
    <row r="1406" ht="15">
      <c r="E1406" s="21">
        <f>+SQRT(E1405)</f>
        <v>2.2360679774997896E-07</v>
      </c>
    </row>
    <row r="1407" ht="15">
      <c r="E1407" s="50">
        <f>+(-E1403+E1406)/(2*E1402)</f>
        <v>2.618033988749895E-07</v>
      </c>
    </row>
    <row r="1408" spans="5:7" ht="15">
      <c r="E1408" s="21">
        <f>+(-E1403-E1406)/(2*E1402)</f>
        <v>3.819660112501051E-08</v>
      </c>
      <c r="F1408" s="21">
        <v>2E-07</v>
      </c>
      <c r="G1408" s="21">
        <f>+F1408-E1408</f>
        <v>1.6180339887498948E-07</v>
      </c>
    </row>
    <row r="1411" ht="15">
      <c r="D1411" s="21">
        <f>0.009/418.59</f>
        <v>2.150075252633842E-05</v>
      </c>
    </row>
    <row r="1412" ht="15">
      <c r="D1412" s="21">
        <f>10^-12.3</f>
        <v>5.011872336272707E-13</v>
      </c>
    </row>
    <row r="1413" spans="4:5" ht="15">
      <c r="D1413" s="21">
        <f>+(3*D1412)^3</f>
        <v>3.3990986118442184E-36</v>
      </c>
      <c r="E1413" s="21">
        <f>+(D1413*D1414)/D1415</f>
        <v>3.65415890329415E-41</v>
      </c>
    </row>
    <row r="1414" ht="15">
      <c r="D1414" s="21">
        <f>+D1411*D1412</f>
        <v>1.0775902679580105E-17</v>
      </c>
    </row>
    <row r="1415" ht="15">
      <c r="D1415" s="21">
        <f>+D1412+D1412</f>
        <v>1.0023744672545413E-12</v>
      </c>
    </row>
    <row r="1417" spans="4:7" ht="15">
      <c r="D1417" s="21">
        <v>5.6E-12</v>
      </c>
      <c r="E1417" s="21">
        <f>+(0.00002)^2</f>
        <v>4.0000000000000007E-10</v>
      </c>
      <c r="G1417" s="57">
        <v>1E-05</v>
      </c>
    </row>
    <row r="1418" spans="4:7" ht="15">
      <c r="D1418" s="21">
        <f>+(D1417/4)^(1/3)</f>
        <v>0.00011186889420813968</v>
      </c>
      <c r="E1418" s="21">
        <f>+D1417-0.000000000000004</f>
        <v>5.596E-12</v>
      </c>
      <c r="G1418" s="57">
        <f>+(0.00002)^2</f>
        <v>4.0000000000000007E-10</v>
      </c>
    </row>
    <row r="1419" spans="4:7" ht="15">
      <c r="D1419" s="21">
        <f>+D1418*2</f>
        <v>0.00022373778841627937</v>
      </c>
      <c r="E1419" s="21">
        <f>+E1418/E1417</f>
        <v>0.013989999999999997</v>
      </c>
      <c r="G1419" s="57">
        <f>+G1417*G1418</f>
        <v>4.000000000000001E-15</v>
      </c>
    </row>
    <row r="1420" spans="4:5" ht="15">
      <c r="D1420" s="42">
        <f>-LOG10(D1419)</f>
        <v>3.6502606591099394</v>
      </c>
      <c r="E1420" s="54">
        <f>+E1419*148.23</f>
        <v>2.0737376999999992</v>
      </c>
    </row>
    <row r="1421" ht="15">
      <c r="D1421" s="44">
        <f>14-D1420</f>
        <v>10.34973934089006</v>
      </c>
    </row>
    <row r="1423" spans="4:7" ht="15">
      <c r="D1423" s="57">
        <f>0.15*0.001</f>
        <v>0.00015</v>
      </c>
      <c r="E1423" s="20">
        <f>10^-5.2</f>
        <v>6.309573444801921E-06</v>
      </c>
      <c r="F1423" s="20">
        <f>+E1423*0.00015</f>
        <v>9.464360167202882E-10</v>
      </c>
      <c r="G1423" s="21">
        <f>0.00015*E1423/E1424</f>
        <v>5.4082058098302185E-05</v>
      </c>
    </row>
    <row r="1424" spans="4:7" ht="15">
      <c r="D1424" s="57">
        <f>+D1423/0.1515</f>
        <v>0.0009900990099009901</v>
      </c>
      <c r="E1424" s="21">
        <v>1.75E-05</v>
      </c>
      <c r="F1424" s="21">
        <f>+F1423+E1426</f>
        <v>3.5714360167202875E-09</v>
      </c>
      <c r="G1424" s="21">
        <f>+G1423+0.00015</f>
        <v>0.00020408205809830217</v>
      </c>
    </row>
    <row r="1425" spans="4:6" ht="15">
      <c r="D1425" s="21">
        <f>+SQRT(0.00000000000001/0.0000175*D1424)</f>
        <v>7.521774144446016E-07</v>
      </c>
      <c r="E1425" s="21">
        <f>+E1423*0.00015</f>
        <v>9.464360167202882E-10</v>
      </c>
      <c r="F1425" s="21">
        <f>+F1424/E1424</f>
        <v>0.00020408205809830217</v>
      </c>
    </row>
    <row r="1426" spans="4:6" ht="15">
      <c r="D1426" s="21">
        <f>-LOG10(D1425)</f>
        <v>6.123679711234469</v>
      </c>
      <c r="E1426" s="21">
        <f>+E1424*0.00015</f>
        <v>2.6249999999999995E-09</v>
      </c>
      <c r="F1426" s="20">
        <f>+F1425/0.1</f>
        <v>0.0020408205809830217</v>
      </c>
    </row>
    <row r="1427" spans="4:5" ht="15">
      <c r="D1427" s="21">
        <f>14-D1426</f>
        <v>7.876320288765531</v>
      </c>
      <c r="E1427" s="21">
        <f>+E1425+0.000015</f>
        <v>1.5000946436016721E-05</v>
      </c>
    </row>
    <row r="1428" ht="15">
      <c r="E1428" s="21">
        <f>+E1427/E1426</f>
        <v>5714.646261339704</v>
      </c>
    </row>
    <row r="1430" spans="4:5" ht="15">
      <c r="D1430" s="21">
        <f>10^-1.7</f>
        <v>0.019952623149688792</v>
      </c>
      <c r="E1430" s="21">
        <f>10^-12.3</f>
        <v>5.011872336272707E-13</v>
      </c>
    </row>
    <row r="1431" spans="4:9" ht="15">
      <c r="D1431" s="21">
        <f>+D1430^2</f>
        <v>0.0003981071705534971</v>
      </c>
      <c r="E1431" s="20">
        <f>+E1430*2</f>
        <v>1.0023744672545413E-12</v>
      </c>
      <c r="F1431" s="20">
        <f>+E1431^2</f>
        <v>1.0047545726038256E-24</v>
      </c>
      <c r="H1431" s="20">
        <f>0.009/418.58</f>
        <v>2.150126618567538E-05</v>
      </c>
      <c r="I1431" s="21">
        <f>0.00000000000001/E1430</f>
        <v>0.01995262314968886</v>
      </c>
    </row>
    <row r="1432" spans="4:9" ht="15">
      <c r="D1432" s="21">
        <f>+D1431*2</f>
        <v>0.0007962143411069942</v>
      </c>
      <c r="E1432" s="20">
        <f>+E1430*3</f>
        <v>1.503561700881812E-12</v>
      </c>
      <c r="F1432" s="57">
        <f>+E1432^3</f>
        <v>3.3990986118442184E-36</v>
      </c>
      <c r="H1432" s="20">
        <f>+H1431^4</f>
        <v>2.1372540225896853E-19</v>
      </c>
      <c r="I1432" s="21">
        <f>10^-1.7</f>
        <v>0.019952623149688792</v>
      </c>
    </row>
    <row r="1433" spans="4:8" ht="15">
      <c r="D1433" s="57">
        <f>+D1432/D1430</f>
        <v>0.039905246299377584</v>
      </c>
      <c r="F1433" s="20">
        <f>+F1432*F1431</f>
        <v>3.4152598729817945E-60</v>
      </c>
      <c r="H1433" s="57">
        <f>+H1432*27</f>
        <v>5.7705858609921504E-18</v>
      </c>
    </row>
    <row r="1434" spans="4:6" ht="15">
      <c r="D1434" s="20">
        <f>+D1433*3</f>
        <v>0.11971573889813275</v>
      </c>
      <c r="F1434" s="21">
        <f>+F1433/E1430</f>
        <v>6.814339320386E-48</v>
      </c>
    </row>
    <row r="1435" ht="15">
      <c r="D1435" s="20">
        <f>+D1434^3</f>
        <v>0.001715748987004447</v>
      </c>
    </row>
    <row r="1436" ht="15">
      <c r="D1436" s="57">
        <f>+D1435*D1433</f>
        <v>6.846738591432004E-05</v>
      </c>
    </row>
    <row r="1439" spans="4:8" ht="15">
      <c r="D1439" s="32">
        <f>-LN(0.4)</f>
        <v>0.916290731874155</v>
      </c>
      <c r="F1439" s="20">
        <f>0.0001/D1439</f>
        <v>0.00010913566679372916</v>
      </c>
      <c r="H1439" s="32">
        <f>-LN(0.4)</f>
        <v>0.916290731874155</v>
      </c>
    </row>
    <row r="1440" spans="4:6" ht="15">
      <c r="D1440" s="32">
        <f>+D1439-0.0001</f>
        <v>0.916190731874155</v>
      </c>
      <c r="E1440" s="20">
        <f>+(1-D1440/D1439)*100</f>
        <v>0.010913566679371378</v>
      </c>
      <c r="F1440" s="20">
        <f>+(1-F1439)*100</f>
        <v>99.98908643332062</v>
      </c>
    </row>
    <row r="1441" spans="4:5" ht="15">
      <c r="D1441" s="32">
        <f>+D1439+0.0001</f>
        <v>0.916390731874155</v>
      </c>
      <c r="E1441" s="20">
        <f>+(1-D1441/D1439)*100</f>
        <v>-0.010913566679371378</v>
      </c>
    </row>
    <row r="1443" spans="4:7" ht="15">
      <c r="D1443" s="32">
        <f>-LN(0.4)</f>
        <v>0.916290731874155</v>
      </c>
      <c r="E1443" s="46">
        <f>+D1443/3500</f>
        <v>0.0002617973519640443</v>
      </c>
      <c r="F1443" s="20">
        <f>0.0001/3500</f>
        <v>2.8571428571428572E-08</v>
      </c>
      <c r="G1443" s="46">
        <f>+F1443/E1443</f>
        <v>0.00010913566679372915</v>
      </c>
    </row>
    <row r="1444" spans="4:7" ht="15">
      <c r="D1444" s="39">
        <f>0.01/100*D1443</f>
        <v>9.16290731874155E-05</v>
      </c>
      <c r="F1444" s="45">
        <f>+E1443-F1443</f>
        <v>0.0002617687805354729</v>
      </c>
      <c r="G1444" s="20">
        <f>+(1-G1443)*100</f>
        <v>99.98908643332062</v>
      </c>
    </row>
    <row r="1445" spans="4:6" ht="15">
      <c r="D1445" s="32">
        <f>+D1443-D1444</f>
        <v>0.9161991028009676</v>
      </c>
      <c r="F1445" s="45">
        <f>+E1443+F1443</f>
        <v>0.0002618259233926157</v>
      </c>
    </row>
    <row r="1446" ht="15">
      <c r="D1446" s="32">
        <f>+D1443+D1444</f>
        <v>0.9163823609473424</v>
      </c>
    </row>
    <row r="1449" spans="4:7" ht="15">
      <c r="D1449" s="32">
        <v>0.01</v>
      </c>
      <c r="E1449" s="20">
        <v>0.308</v>
      </c>
      <c r="F1449" s="20">
        <v>0.592</v>
      </c>
      <c r="G1449" s="21">
        <f>+F1452*50/10</f>
        <v>0.00027435128667111614</v>
      </c>
    </row>
    <row r="1450" spans="4:7" ht="15">
      <c r="D1450" s="20">
        <v>53.491</v>
      </c>
      <c r="E1450" s="50">
        <f>+E1449/D1452</f>
        <v>8237.614</v>
      </c>
      <c r="F1450" s="35">
        <v>0.14</v>
      </c>
      <c r="G1450" s="21">
        <f>+G1449*100/1000</f>
        <v>2.7435128667111617E-05</v>
      </c>
    </row>
    <row r="1451" spans="4:7" ht="15">
      <c r="D1451" s="21">
        <f>+D1449/D1450</f>
        <v>0.00018694733693518537</v>
      </c>
      <c r="F1451" s="35">
        <f>+F1449-F1450</f>
        <v>0.45199999999999996</v>
      </c>
      <c r="G1451" s="21">
        <f>+G1450*14.007</f>
        <v>0.0003842838472402324</v>
      </c>
    </row>
    <row r="1452" spans="4:7" ht="15">
      <c r="D1452" s="50">
        <f>+D1451*10/50</f>
        <v>3.738946738703708E-05</v>
      </c>
      <c r="F1452" s="50">
        <f>+F1451/E1450</f>
        <v>5.4870257334223234E-05</v>
      </c>
      <c r="G1452" s="35">
        <f>+G1451*1000</f>
        <v>0.3842838472402324</v>
      </c>
    </row>
    <row r="1453" ht="15">
      <c r="G1453" s="42">
        <f>+G1452/4.7*100</f>
        <v>8.176252068941114</v>
      </c>
    </row>
    <row r="1454" ht="15">
      <c r="G1454" s="58"/>
    </row>
    <row r="1456" spans="4:6" ht="15">
      <c r="D1456" s="70">
        <v>2.479</v>
      </c>
      <c r="E1456" s="21">
        <v>6.45E-05</v>
      </c>
      <c r="F1456" s="35">
        <v>1</v>
      </c>
    </row>
    <row r="1457" spans="4:6" ht="15">
      <c r="D1457" s="32">
        <f>+D1456/0.0821/298</f>
        <v>0.10132511505857154</v>
      </c>
      <c r="E1457" s="21">
        <f>+E1456*D1457</f>
        <v>6.535469921277864E-06</v>
      </c>
      <c r="F1457" s="21">
        <f>E1456</f>
        <v>6.45E-05</v>
      </c>
    </row>
    <row r="1458" spans="4:6" ht="15">
      <c r="D1458" s="42"/>
      <c r="F1458" s="21">
        <f>-E1457</f>
        <v>-6.535469921277864E-06</v>
      </c>
    </row>
    <row r="1459" spans="4:6" ht="15">
      <c r="D1459" s="50">
        <f>+SQRT(E1456*D1457)</f>
        <v>0.002556456516602202</v>
      </c>
      <c r="F1459" s="21">
        <f>+(F1457^2)-4*F1456*F1458</f>
        <v>2.6146039935111455E-05</v>
      </c>
    </row>
    <row r="1460" spans="4:6" ht="15">
      <c r="D1460" s="44">
        <f>-LOG(D1459)</f>
        <v>2.5923615898963033</v>
      </c>
      <c r="F1460" s="21">
        <f>+SQRT(F1459)</f>
        <v>0.005113319854567232</v>
      </c>
    </row>
    <row r="1461" spans="6:7" ht="15">
      <c r="F1461" s="50">
        <f>+(-F1457+F1460)/(2*F1456)</f>
        <v>0.002524409927283616</v>
      </c>
      <c r="G1461" s="44">
        <f>-LOG10(F1461)</f>
        <v>2.597840120623701</v>
      </c>
    </row>
    <row r="1462" ht="15">
      <c r="F1462" s="21">
        <f>+(-F1457-F1460)/(2*F1456)</f>
        <v>-0.002588909927283616</v>
      </c>
    </row>
    <row r="1465" ht="15">
      <c r="D1465" s="43">
        <f>34.66/760</f>
        <v>0.04560526315789473</v>
      </c>
    </row>
    <row r="1466" ht="15">
      <c r="D1466" s="21"/>
    </row>
    <row r="1467" spans="4:9" ht="15">
      <c r="D1467" s="35"/>
      <c r="E1467" s="20">
        <v>40.68</v>
      </c>
      <c r="F1467" s="35">
        <f>+E1467/12.011</f>
        <v>3.386895345932895</v>
      </c>
      <c r="G1467" s="58">
        <f>+F1467/$F$1467</f>
        <v>1</v>
      </c>
      <c r="H1467" s="58">
        <f>+G1467*2</f>
        <v>2</v>
      </c>
      <c r="I1467" s="42">
        <f>+H1467*12.011</f>
        <v>24.022</v>
      </c>
    </row>
    <row r="1468" spans="5:9" ht="15">
      <c r="E1468" s="20">
        <v>5.08</v>
      </c>
      <c r="F1468" s="42">
        <f>+E1468/1.008</f>
        <v>5.0396825396825395</v>
      </c>
      <c r="G1468" s="58">
        <f>+F1468/$F$1467</f>
        <v>1.487994763621607</v>
      </c>
      <c r="H1468" s="58">
        <f>+G1468*2</f>
        <v>2.975989527243214</v>
      </c>
      <c r="I1468" s="42">
        <f>+H1468*1.008</f>
        <v>2.99979744346116</v>
      </c>
    </row>
    <row r="1469" spans="5:9" ht="15">
      <c r="E1469" s="20">
        <v>54.42</v>
      </c>
      <c r="F1469" s="35">
        <f>+E1469/15.999</f>
        <v>3.4014625914119634</v>
      </c>
      <c r="G1469" s="58">
        <f>+F1469/$F$1467</f>
        <v>1.0043010615892105</v>
      </c>
      <c r="H1469" s="58">
        <f>+G1469*2</f>
        <v>2.008602123178421</v>
      </c>
      <c r="I1469" s="42">
        <f>+H1469*15.999</f>
        <v>32.13562536873156</v>
      </c>
    </row>
    <row r="1470" spans="5:9" ht="15">
      <c r="E1470" s="20">
        <f>SUM(E1467:E1469)</f>
        <v>100.18</v>
      </c>
      <c r="I1470" s="58">
        <f>SUM(I1467:I1469)</f>
        <v>59.15742281219272</v>
      </c>
    </row>
    <row r="1471" spans="9:10" ht="15">
      <c r="I1471" s="60">
        <f>+I1470*2</f>
        <v>118.31484562438544</v>
      </c>
      <c r="J1471" s="58">
        <f>118/I1470</f>
        <v>1.9946778339992095</v>
      </c>
    </row>
    <row r="1472" ht="15">
      <c r="D1472" s="21">
        <v>1E-14</v>
      </c>
    </row>
    <row r="1473" spans="4:11" ht="15">
      <c r="D1473" s="21">
        <v>1.8E-05</v>
      </c>
      <c r="I1473" s="60">
        <v>140</v>
      </c>
      <c r="J1473" s="32">
        <f>0.1/I1473*0.0821*300*2</f>
        <v>0.035185714285714285</v>
      </c>
      <c r="K1473" s="42">
        <f>+J1473*760</f>
        <v>26.741142857142858</v>
      </c>
    </row>
    <row r="1474" spans="4:11" ht="15">
      <c r="D1474" s="21">
        <f>+D1472/D1473</f>
        <v>5.555555555555555E-10</v>
      </c>
      <c r="I1474" s="60">
        <v>162</v>
      </c>
      <c r="J1474" s="32">
        <f>0.1/I1474*0.0821*300*3</f>
        <v>0.045611111111111116</v>
      </c>
      <c r="K1474" s="42">
        <f>+J1474*760</f>
        <v>34.66444444444445</v>
      </c>
    </row>
    <row r="1475" spans="4:5" ht="15">
      <c r="D1475" s="21">
        <f>10^-9.82</f>
        <v>1.5135612484362048E-10</v>
      </c>
      <c r="E1475" s="21">
        <f>+D1474/D1475</f>
        <v>3.6705191555977636</v>
      </c>
    </row>
    <row r="1476" spans="4:5" ht="15">
      <c r="D1476" s="21"/>
      <c r="E1476" s="21">
        <f>+E1475+1</f>
        <v>4.670519155597764</v>
      </c>
    </row>
    <row r="1477" spans="4:5" ht="15">
      <c r="D1477" s="21"/>
      <c r="E1477" s="21">
        <f>0.05/E1476</f>
        <v>0.01070544801000836</v>
      </c>
    </row>
    <row r="1478" spans="4:5" ht="15">
      <c r="D1478" s="21"/>
      <c r="E1478" s="20">
        <f>+E1477/0.5</f>
        <v>0.02141089602001672</v>
      </c>
    </row>
    <row r="1479" ht="15">
      <c r="D1479" s="21"/>
    </row>
    <row r="1480" ht="15">
      <c r="D1480" s="21"/>
    </row>
    <row r="1481" spans="4:7" ht="15">
      <c r="D1481" s="42">
        <f>14-7.7</f>
        <v>6.3</v>
      </c>
      <c r="E1481" s="21">
        <f>10^-D1481</f>
        <v>5.011872336272722E-07</v>
      </c>
      <c r="F1481" s="21">
        <f>+E1481*0.02</f>
        <v>1.0023744672545444E-08</v>
      </c>
      <c r="G1481" s="35">
        <v>1</v>
      </c>
    </row>
    <row r="1482" spans="4:7" ht="15">
      <c r="D1482" s="42">
        <f>14-2.48</f>
        <v>11.52</v>
      </c>
      <c r="E1482" s="21">
        <f>10^-D1482</f>
        <v>3.019951720402016E-12</v>
      </c>
      <c r="F1482" s="21">
        <f>+E1481+0.015</f>
        <v>0.015000501187233627</v>
      </c>
      <c r="G1482" s="57">
        <f>F1482</f>
        <v>0.015000501187233627</v>
      </c>
    </row>
    <row r="1483" ht="15">
      <c r="G1483" s="57">
        <f>-F1481</f>
        <v>-1.0023744672545444E-08</v>
      </c>
    </row>
    <row r="1484" ht="15">
      <c r="G1484" s="21">
        <f>+(G1482^2)-4*G1481*G1483</f>
        <v>0.00022505513084688763</v>
      </c>
    </row>
    <row r="1485" ht="15">
      <c r="G1485" s="21">
        <f>+SQRT(G1484)</f>
        <v>0.015001837582339292</v>
      </c>
    </row>
    <row r="1486" spans="7:12" ht="15">
      <c r="G1486" s="50">
        <f>+(-G1482+G1485)/(2*G1481)</f>
        <v>6.681975528322753E-07</v>
      </c>
      <c r="H1486" s="20">
        <v>0.015</v>
      </c>
      <c r="I1486" s="21">
        <f>+G1486+H1486</f>
        <v>0.015000668197552832</v>
      </c>
      <c r="J1486" s="21">
        <f>+I1486/0.35</f>
        <v>0.042859051993008095</v>
      </c>
      <c r="K1486" s="42">
        <f>-LOG10(J1486)</f>
        <v>1.3679574394248188</v>
      </c>
      <c r="L1486" s="44">
        <f>14-K1486</f>
        <v>12.632042560575181</v>
      </c>
    </row>
    <row r="1487" ht="15">
      <c r="G1487" s="21">
        <f>+(-G1482-G1485)/(2*G1481)</f>
        <v>-0.01500116938478646</v>
      </c>
    </row>
    <row r="1489" ht="15">
      <c r="E1489" s="20">
        <f>0.02/0.35</f>
        <v>0.05714285714285715</v>
      </c>
    </row>
    <row r="1490" spans="5:9" ht="15">
      <c r="E1490" s="21">
        <f>+SQRT(E1489*E1481)</f>
        <v>0.0001692314110707199</v>
      </c>
      <c r="F1490" s="21">
        <f>0.015/0.35</f>
        <v>0.04285714285714286</v>
      </c>
      <c r="G1490" s="21">
        <f>+E1490+F1490</f>
        <v>0.043026374268213576</v>
      </c>
      <c r="H1490" s="42">
        <f>-LOG10(G1490)</f>
        <v>1.366265249354378</v>
      </c>
      <c r="I1490" s="44">
        <f>14-H1490</f>
        <v>12.633734750645623</v>
      </c>
    </row>
    <row r="1493" ht="15">
      <c r="D1493" s="21">
        <v>8.9E-17</v>
      </c>
    </row>
    <row r="1494" ht="15">
      <c r="D1494" s="20">
        <f>+(D1493/27)^(1/4)</f>
        <v>4.260951202929043E-05</v>
      </c>
    </row>
    <row r="1496" spans="4:11" ht="15">
      <c r="D1496" s="51" t="s">
        <v>535</v>
      </c>
      <c r="E1496" s="362" t="s">
        <v>379</v>
      </c>
      <c r="F1496" s="362"/>
      <c r="G1496" s="51" t="s">
        <v>537</v>
      </c>
      <c r="I1496" s="51" t="s">
        <v>541</v>
      </c>
      <c r="K1496" s="51" t="s">
        <v>264</v>
      </c>
    </row>
    <row r="1497" spans="4:12" ht="15">
      <c r="D1497" s="20">
        <f>11*24.7</f>
        <v>271.7</v>
      </c>
      <c r="E1497" s="21">
        <f>+D1500*4/5</f>
        <v>0.0010988877654196157</v>
      </c>
      <c r="G1497" s="31">
        <f>+E1499*24.7/1000</f>
        <v>0.0054944388270980775</v>
      </c>
      <c r="H1497" s="20" t="s">
        <v>538</v>
      </c>
      <c r="I1497" s="21">
        <f>11.6*0.05/1000</f>
        <v>0.00058</v>
      </c>
      <c r="J1497" s="20" t="s">
        <v>542</v>
      </c>
      <c r="K1497" s="32">
        <f>+G1499-I1498</f>
        <v>0.012514796090326925</v>
      </c>
      <c r="L1497" s="20" t="s">
        <v>540</v>
      </c>
    </row>
    <row r="1498" spans="4:12" ht="15">
      <c r="D1498" s="20">
        <f>+D1497/1000</f>
        <v>0.2717</v>
      </c>
      <c r="E1498" s="32">
        <f>+E1497*1000/24.7</f>
        <v>0.044489383215369056</v>
      </c>
      <c r="F1498" s="20" t="s">
        <v>43</v>
      </c>
      <c r="G1498" s="32">
        <f>+G1497*200/30</f>
        <v>0.03662959218065385</v>
      </c>
      <c r="H1498" s="20" t="s">
        <v>539</v>
      </c>
      <c r="I1498" s="21">
        <f>+I1497*200/20</f>
        <v>0.0058000000000000005</v>
      </c>
      <c r="J1498" s="20" t="s">
        <v>540</v>
      </c>
      <c r="K1498" s="42">
        <f>+K1497*166.2</f>
        <v>2.079959110212335</v>
      </c>
      <c r="L1498" s="20" t="s">
        <v>543</v>
      </c>
    </row>
    <row r="1499" spans="4:11" ht="15">
      <c r="D1499" s="20">
        <v>197.8</v>
      </c>
      <c r="E1499" s="35">
        <f>+E1498*5</f>
        <v>0.22244691607684527</v>
      </c>
      <c r="F1499" s="20" t="s">
        <v>536</v>
      </c>
      <c r="G1499" s="32">
        <f>+G1498/2</f>
        <v>0.018314796090326924</v>
      </c>
      <c r="H1499" s="20" t="s">
        <v>540</v>
      </c>
      <c r="I1499" s="35">
        <f>+I1498*128.1</f>
        <v>0.74298</v>
      </c>
      <c r="J1499" s="20" t="s">
        <v>543</v>
      </c>
      <c r="K1499" s="73">
        <f>+K1498/3.2*100</f>
        <v>64.99872219413547</v>
      </c>
    </row>
    <row r="1500" spans="4:9" ht="15">
      <c r="D1500" s="21">
        <f>+D1498/D1499</f>
        <v>0.0013736097067745196</v>
      </c>
      <c r="I1500" s="73">
        <f>+I1499/3.2*100</f>
        <v>23.218124999999997</v>
      </c>
    </row>
    <row r="1501" spans="4:11" ht="15">
      <c r="D1501" s="21"/>
      <c r="K1501" s="58">
        <f>100-I1500-K1499</f>
        <v>11.783152805864532</v>
      </c>
    </row>
    <row r="1502" ht="15">
      <c r="D1502" s="21">
        <f>0.011/197.8</f>
        <v>5.561172901921132E-05</v>
      </c>
    </row>
    <row r="1503" ht="15">
      <c r="D1503" s="21">
        <f>+D1502*24.7</f>
        <v>0.0013736097067745196</v>
      </c>
    </row>
    <row r="1504" ht="15">
      <c r="D1504" s="21">
        <f>+D1503*0.8</f>
        <v>0.0010988877654196157</v>
      </c>
    </row>
    <row r="1505" ht="15">
      <c r="D1505" s="21">
        <f>+D1504*5/2</f>
        <v>0.002747219413549039</v>
      </c>
    </row>
    <row r="1506" ht="15">
      <c r="D1506" s="21">
        <f>+D1505*200/30</f>
        <v>0.018314796090326928</v>
      </c>
    </row>
    <row r="1509" spans="4:7" ht="15">
      <c r="D1509" s="287" t="s">
        <v>537</v>
      </c>
      <c r="E1509" s="287" t="s">
        <v>544</v>
      </c>
      <c r="F1509" s="287" t="s">
        <v>545</v>
      </c>
      <c r="G1509" s="287" t="s">
        <v>381</v>
      </c>
    </row>
    <row r="1510" spans="4:7" ht="15">
      <c r="D1510" s="35">
        <f>0.5324/5.324</f>
        <v>0.1</v>
      </c>
      <c r="E1510" s="21">
        <f>12*0.1/1000</f>
        <v>0.0012000000000000001</v>
      </c>
      <c r="F1510" s="35">
        <f>12.5*0.1/25</f>
        <v>0.05</v>
      </c>
      <c r="G1510" s="21">
        <f>+D1513-E1511-F1512</f>
        <v>0.004833333333333335</v>
      </c>
    </row>
    <row r="1511" spans="4:7" ht="15">
      <c r="D1511" s="21">
        <f>+D1510*35/1000</f>
        <v>0.0035</v>
      </c>
      <c r="E1511" s="21">
        <f>+E1510*5</f>
        <v>0.006</v>
      </c>
      <c r="F1511" s="21">
        <f>15*F1510/1000</f>
        <v>0.00075</v>
      </c>
      <c r="G1511" s="35">
        <f>+G1510*134</f>
        <v>0.647666666666667</v>
      </c>
    </row>
    <row r="1512" spans="4:7" ht="15">
      <c r="D1512" s="21">
        <f>+D1511*2.5</f>
        <v>0.00875</v>
      </c>
      <c r="E1512" s="35">
        <f>+E1511*146.12</f>
        <v>0.87672</v>
      </c>
      <c r="F1512" s="21">
        <f>+F1511*5</f>
        <v>0.00375</v>
      </c>
      <c r="G1512" s="73">
        <f>+G1511/2*100</f>
        <v>32.38333333333335</v>
      </c>
    </row>
    <row r="1513" spans="4:6" ht="15">
      <c r="D1513" s="21">
        <f>+D1512*1.66666666666667</f>
        <v>0.014583333333333335</v>
      </c>
      <c r="E1513" s="73">
        <f>+E1512/2*100</f>
        <v>43.836000000000006</v>
      </c>
      <c r="F1513" s="35">
        <f>+F1512*112.02</f>
        <v>0.420075</v>
      </c>
    </row>
    <row r="1514" spans="6:8" ht="15">
      <c r="F1514" s="73">
        <f>+F1513/2*100</f>
        <v>21.00375</v>
      </c>
      <c r="H1514" s="73">
        <f>+E1513+G1512+F1514</f>
        <v>97.22308333333335</v>
      </c>
    </row>
    <row r="1516" ht="15.75" thickBot="1"/>
    <row r="1517" spans="4:16" ht="15.75" thickBot="1">
      <c r="D1517" s="288" t="s">
        <v>546</v>
      </c>
      <c r="E1517" s="288" t="s">
        <v>160</v>
      </c>
      <c r="F1517" s="288"/>
      <c r="G1517" s="289"/>
      <c r="H1517" s="359" t="s">
        <v>557</v>
      </c>
      <c r="I1517" s="360"/>
      <c r="J1517" s="360"/>
      <c r="K1517" s="360"/>
      <c r="L1517" s="360"/>
      <c r="M1517" s="360"/>
      <c r="N1517" s="360"/>
      <c r="O1517" s="360"/>
      <c r="P1517" s="361"/>
    </row>
    <row r="1518" spans="4:16" ht="15">
      <c r="D1518" s="21">
        <f>25.38*0.04/1000</f>
        <v>0.0010152</v>
      </c>
      <c r="E1518" s="21">
        <f>1/36.5</f>
        <v>0.0273972602739726</v>
      </c>
      <c r="F1518" s="42">
        <f>6.2*1.021</f>
        <v>6.3302</v>
      </c>
      <c r="G1518" s="21"/>
      <c r="H1518" s="44">
        <v>7.258530852105779</v>
      </c>
      <c r="I1518" s="98" t="s">
        <v>486</v>
      </c>
      <c r="J1518" s="21">
        <f>+H1518*E1521/1000</f>
        <v>0.0020304</v>
      </c>
      <c r="K1518" s="291">
        <f>+J1518*24.4444444444444</f>
        <v>0.049631999999999996</v>
      </c>
      <c r="L1518" s="55" t="s">
        <v>554</v>
      </c>
      <c r="O1518" s="42">
        <f>+K1518*E1528</f>
        <v>6.859142399999999</v>
      </c>
      <c r="P1518" s="59" t="s">
        <v>548</v>
      </c>
    </row>
    <row r="1519" spans="4:12" ht="15">
      <c r="D1519" s="21">
        <f>+D1518*2</f>
        <v>0.0020304</v>
      </c>
      <c r="E1519" s="42">
        <f>100/1.021</f>
        <v>97.94319294809011</v>
      </c>
      <c r="F1519" s="20">
        <f>+F1518*1/100</f>
        <v>0.063302</v>
      </c>
      <c r="G1519" s="42"/>
      <c r="H1519" s="98">
        <v>6.2</v>
      </c>
      <c r="I1519" s="98" t="s">
        <v>547</v>
      </c>
      <c r="J1519" s="291">
        <f>+H1519*E1521/1000</f>
        <v>0.0017343013698630134</v>
      </c>
      <c r="K1519" s="291">
        <f>+J1519*24.4444444444444</f>
        <v>0.04239403348554033</v>
      </c>
      <c r="L1519" s="291" t="s">
        <v>558</v>
      </c>
    </row>
    <row r="1520" spans="4:11" ht="15">
      <c r="D1520" s="21">
        <f>+D1519*24.4444444444444</f>
        <v>0.049631999999999996</v>
      </c>
      <c r="E1520" s="21">
        <f>+E1519/1000</f>
        <v>0.09794319294809012</v>
      </c>
      <c r="F1520" s="21">
        <f>+F1519/36.5</f>
        <v>0.0017343013698630136</v>
      </c>
      <c r="G1520" s="44"/>
      <c r="H1520" s="44">
        <f>+H1518+H1519</f>
        <v>13.45853085210578</v>
      </c>
      <c r="I1520" s="98" t="s">
        <v>487</v>
      </c>
      <c r="J1520" s="44"/>
      <c r="K1520" s="98"/>
    </row>
    <row r="1521" spans="5:11" ht="15">
      <c r="E1521" s="50">
        <f>+E1518/E1520</f>
        <v>0.2797260273972602</v>
      </c>
      <c r="G1521" s="44"/>
      <c r="H1521" s="290"/>
      <c r="J1521" s="44"/>
      <c r="K1521" s="98"/>
    </row>
    <row r="1522" spans="5:10" ht="15.75" thickBot="1">
      <c r="E1522" s="21">
        <f>6.2*E1521/1000</f>
        <v>0.0017343013698630134</v>
      </c>
      <c r="G1522" s="21"/>
      <c r="J1522" s="21"/>
    </row>
    <row r="1523" spans="5:16" ht="15.75" thickBot="1">
      <c r="E1523" s="98">
        <v>6.2</v>
      </c>
      <c r="F1523" s="98" t="s">
        <v>547</v>
      </c>
      <c r="G1523" s="21"/>
      <c r="H1523" s="359" t="s">
        <v>550</v>
      </c>
      <c r="I1523" s="360"/>
      <c r="J1523" s="360"/>
      <c r="K1523" s="360"/>
      <c r="L1523" s="360"/>
      <c r="M1523" s="360"/>
      <c r="N1523" s="360"/>
      <c r="O1523" s="360"/>
      <c r="P1523" s="361"/>
    </row>
    <row r="1524" spans="5:17" ht="15">
      <c r="E1524" s="44">
        <f>+D1519*1000/E1521</f>
        <v>7.258530852105779</v>
      </c>
      <c r="F1524" s="98" t="s">
        <v>486</v>
      </c>
      <c r="G1524" s="21"/>
      <c r="H1524" s="44">
        <v>7.258530852105779</v>
      </c>
      <c r="I1524" s="98" t="s">
        <v>486</v>
      </c>
      <c r="J1524" s="291">
        <f>+H1524*E1521/1000</f>
        <v>0.0020304</v>
      </c>
      <c r="K1524" s="291">
        <f>+J1524*24.4444444444444</f>
        <v>0.049631999999999996</v>
      </c>
      <c r="L1524" s="55" t="s">
        <v>555</v>
      </c>
      <c r="M1524" s="291">
        <f>+K1524-K1525</f>
        <v>0.007237966514459668</v>
      </c>
      <c r="N1524" s="59" t="s">
        <v>556</v>
      </c>
      <c r="O1524" s="56">
        <f>+M1524*E1527</f>
        <v>0.40604992146118735</v>
      </c>
      <c r="P1524" s="59" t="s">
        <v>549</v>
      </c>
      <c r="Q1524" s="42">
        <f>+O1524/8*100</f>
        <v>5.0756240182648416</v>
      </c>
    </row>
    <row r="1525" spans="5:17" ht="15">
      <c r="E1525" s="44">
        <f>+E1523+E1524</f>
        <v>13.45853085210578</v>
      </c>
      <c r="F1525" s="98" t="s">
        <v>487</v>
      </c>
      <c r="H1525" s="98">
        <v>6.2</v>
      </c>
      <c r="I1525" s="98" t="s">
        <v>547</v>
      </c>
      <c r="J1525" s="291">
        <f>+H1525*E1521/1000</f>
        <v>0.0017343013698630134</v>
      </c>
      <c r="K1525" s="291">
        <f>+J1525*24.4444444444444</f>
        <v>0.04239403348554033</v>
      </c>
      <c r="L1525" s="291" t="s">
        <v>554</v>
      </c>
      <c r="N1525" s="56"/>
      <c r="O1525" s="42">
        <f>+K1525*E1528</f>
        <v>5.8588554277016724</v>
      </c>
      <c r="P1525" s="59" t="s">
        <v>548</v>
      </c>
      <c r="Q1525" s="58">
        <f>+O1525/8*100</f>
        <v>73.23569284627091</v>
      </c>
    </row>
    <row r="1526" spans="7:17" ht="15">
      <c r="G1526" s="44"/>
      <c r="H1526" s="44">
        <f>+H1524+H1525</f>
        <v>13.45853085210578</v>
      </c>
      <c r="I1526" s="98" t="s">
        <v>487</v>
      </c>
      <c r="J1526" s="292"/>
      <c r="K1526" s="292"/>
      <c r="L1526" s="292"/>
      <c r="M1526" s="292"/>
      <c r="N1526" s="59"/>
      <c r="O1526" s="292"/>
      <c r="P1526" s="59"/>
      <c r="Q1526" s="42">
        <f>SUM(Q1524:Q1525)</f>
        <v>78.31131686453575</v>
      </c>
    </row>
    <row r="1527" spans="5:17" ht="15">
      <c r="E1527" s="20">
        <v>56.1</v>
      </c>
      <c r="F1527" s="20" t="s">
        <v>551</v>
      </c>
      <c r="G1527" s="21"/>
      <c r="J1527" s="21"/>
      <c r="M1527" s="21"/>
      <c r="Q1527" s="58">
        <f>100-Q1526</f>
        <v>21.688683135464245</v>
      </c>
    </row>
    <row r="1528" spans="5:14" ht="15">
      <c r="E1528" s="20">
        <v>138.2</v>
      </c>
      <c r="F1528" s="20" t="s">
        <v>552</v>
      </c>
      <c r="G1528" s="42"/>
      <c r="J1528" s="50"/>
      <c r="K1528" s="98"/>
      <c r="M1528" s="50"/>
      <c r="N1528" s="98"/>
    </row>
    <row r="1529" spans="5:14" ht="15">
      <c r="E1529" s="20">
        <v>100.12</v>
      </c>
      <c r="F1529" s="20" t="s">
        <v>553</v>
      </c>
      <c r="G1529" s="44"/>
      <c r="H1529" s="98"/>
      <c r="M1529" s="21"/>
      <c r="N1529" s="35"/>
    </row>
    <row r="1530" spans="7:13" ht="15">
      <c r="G1530" s="42"/>
      <c r="J1530" s="21"/>
      <c r="M1530" s="58"/>
    </row>
    <row r="1531" spans="10:11" ht="15">
      <c r="J1531" s="50"/>
      <c r="K1531" s="98"/>
    </row>
    <row r="1532" spans="2:10" ht="15">
      <c r="B1532" s="20">
        <f>0.09*E1532</f>
        <v>4.8141</v>
      </c>
      <c r="C1532" s="20">
        <v>0.02233</v>
      </c>
      <c r="D1532" s="20">
        <f>+C1532*E1532</f>
        <v>1.1944317</v>
      </c>
      <c r="E1532" s="20">
        <v>53.49</v>
      </c>
      <c r="F1532" s="20">
        <f>0.045*E1532*E1533</f>
        <v>192.660282</v>
      </c>
      <c r="J1532" s="50"/>
    </row>
    <row r="1533" spans="2:10" ht="15">
      <c r="B1533" s="20">
        <f>+B1532-3</f>
        <v>1.8140999999999998</v>
      </c>
      <c r="C1533" s="20">
        <v>0.02261</v>
      </c>
      <c r="D1533" s="20">
        <f>+C1533*E1533</f>
        <v>1.8097044000000002</v>
      </c>
      <c r="E1533" s="20">
        <v>80.04</v>
      </c>
      <c r="F1533" s="20">
        <f>3*E1532</f>
        <v>160.47</v>
      </c>
      <c r="J1533" s="58"/>
    </row>
    <row r="1534" spans="2:6" ht="15">
      <c r="B1534" s="20">
        <f>-E1533+E1532</f>
        <v>-26.550000000000004</v>
      </c>
      <c r="C1534" s="20">
        <f>SUM(C1532:C1533)</f>
        <v>0.04494</v>
      </c>
      <c r="D1534" s="20">
        <f>SUM(D1532:D1533)</f>
        <v>3.0041361</v>
      </c>
      <c r="F1534" s="20">
        <f>+F1532-F1533</f>
        <v>32.190281999999996</v>
      </c>
    </row>
    <row r="1535" spans="2:6" ht="15">
      <c r="B1535" s="20">
        <f>+B1533/B1534</f>
        <v>-0.06832768361581919</v>
      </c>
      <c r="F1535" s="20">
        <f>+E1533-E1532</f>
        <v>26.550000000000004</v>
      </c>
    </row>
    <row r="1536" spans="2:7" ht="15">
      <c r="B1536" s="20">
        <f>0.09-B1535</f>
        <v>0.15832768361581917</v>
      </c>
      <c r="F1536" s="42">
        <f>+F1534/F1535</f>
        <v>1.2124399999999997</v>
      </c>
      <c r="G1536" s="58">
        <f>+F1536/3*100</f>
        <v>40.41466666666666</v>
      </c>
    </row>
    <row r="1537" spans="6:7" ht="15">
      <c r="F1537" s="42">
        <f>3-F1536</f>
        <v>1.7875600000000003</v>
      </c>
      <c r="G1537" s="58">
        <f>+F1537/3*100</f>
        <v>59.585333333333345</v>
      </c>
    </row>
    <row r="1541" spans="1:5" ht="15">
      <c r="A1541" s="20">
        <v>0.03</v>
      </c>
      <c r="B1541" s="35">
        <f>+-0.509*9*A1543</f>
        <v>-0.6763118298425802</v>
      </c>
      <c r="C1541" s="35">
        <f>10^B1541</f>
        <v>0.2107114667242006</v>
      </c>
      <c r="E1541" s="20">
        <f>1+0.1*0.01</f>
        <v>1.001</v>
      </c>
    </row>
    <row r="1542" spans="1:5" ht="15">
      <c r="A1542" s="35">
        <f>+SQRT(A1541)</f>
        <v>0.17320508075688773</v>
      </c>
      <c r="B1542" s="35">
        <f>+-0.509*4*A1543</f>
        <v>-0.3005830354855912</v>
      </c>
      <c r="C1542" s="35">
        <f>10^B1542</f>
        <v>0.5005148468073781</v>
      </c>
      <c r="E1542" s="20">
        <f>1+10^-4.04*0.01</f>
        <v>1.0000009120108393</v>
      </c>
    </row>
    <row r="1543" spans="1:5" ht="15">
      <c r="A1543" s="35">
        <f>+A1542/(1+A1542)</f>
        <v>0.14763410387308015</v>
      </c>
      <c r="C1543" s="20">
        <f>+LN(C1541/C1542)</f>
        <v>-0.8651475208950282</v>
      </c>
      <c r="E1543" s="20">
        <f>10^-5.38*0.01^2</f>
        <v>4.168693834703354E-10</v>
      </c>
    </row>
    <row r="1544" spans="3:5" ht="15">
      <c r="C1544" s="20">
        <f>0.059*C1543</f>
        <v>-0.051043703732806665</v>
      </c>
      <c r="E1544" s="20">
        <f>+E1542+E1543</f>
        <v>1.0000009124277087</v>
      </c>
    </row>
    <row r="1545" ht="15">
      <c r="E1545" s="21">
        <f>+LN(E1541/E1544)</f>
        <v>0.0009985879057909607</v>
      </c>
    </row>
    <row r="1546" ht="15">
      <c r="E1546" s="21">
        <f>0.059*E1545</f>
        <v>5.8916686441666675E-05</v>
      </c>
    </row>
    <row r="1547" ht="15">
      <c r="C1547" s="21">
        <f>0.77+E1546+C1544</f>
        <v>0.719015212953635</v>
      </c>
    </row>
    <row r="1549" ht="15">
      <c r="A1549" s="35">
        <v>1</v>
      </c>
    </row>
    <row r="1550" ht="15">
      <c r="A1550" s="57">
        <v>-0.08</v>
      </c>
    </row>
    <row r="1551" ht="15">
      <c r="A1551" s="57">
        <v>-1E-14</v>
      </c>
    </row>
    <row r="1552" ht="15">
      <c r="A1552" s="21">
        <f>+(A1550^2)-4*A1549*A1551</f>
        <v>0.00640000000004</v>
      </c>
    </row>
    <row r="1553" ht="15">
      <c r="A1553" s="21">
        <f>+SQRT(A1552)</f>
        <v>0.08000000000025</v>
      </c>
    </row>
    <row r="1554" spans="1:3" ht="15">
      <c r="A1554" s="50">
        <f>+(-A1550+A1553)/(2*A1549)</f>
        <v>0.080000000000125</v>
      </c>
      <c r="B1554" s="42">
        <f>-LOG10(A1554)</f>
        <v>1.096910013007378</v>
      </c>
      <c r="C1554" s="21">
        <f>0.00000000000001/A1554</f>
        <v>1.249999999998047E-13</v>
      </c>
    </row>
    <row r="1555" ht="15">
      <c r="A1555" s="21">
        <f>+(-A1550-A1553)/(2*A1549)</f>
        <v>-1.249972347849848E-13</v>
      </c>
    </row>
    <row r="1558" spans="1:4" ht="15">
      <c r="A1558" s="57">
        <v>0.059</v>
      </c>
      <c r="B1558" s="21">
        <f>+A1558*A1559</f>
        <v>3.835E-06</v>
      </c>
      <c r="C1558" s="21"/>
      <c r="D1558" s="21"/>
    </row>
    <row r="1559" spans="1:4" ht="15">
      <c r="A1559" s="57">
        <v>6.5E-05</v>
      </c>
      <c r="B1559" s="21">
        <f>+A1558*0.09</f>
        <v>0.00531</v>
      </c>
      <c r="D1559" s="21"/>
    </row>
    <row r="1560" spans="2:4" ht="15">
      <c r="B1560" s="21">
        <f>+B1558-B1559</f>
        <v>-0.005306165</v>
      </c>
      <c r="C1560" s="21"/>
      <c r="D1560" s="21"/>
    </row>
    <row r="1561" spans="2:4" ht="15">
      <c r="B1561" s="21">
        <f>2*B1558*0.09</f>
        <v>6.902999999999999E-07</v>
      </c>
      <c r="D1561" s="21"/>
    </row>
    <row r="1564" spans="1:2" ht="15">
      <c r="A1564" s="21">
        <f>75*0.16/1000</f>
        <v>0.012</v>
      </c>
      <c r="B1564" s="20" t="s">
        <v>559</v>
      </c>
    </row>
    <row r="1565" spans="1:2" ht="15">
      <c r="A1565" s="21">
        <f>25*0.1/1000</f>
        <v>0.0025</v>
      </c>
      <c r="B1565" s="20" t="s">
        <v>560</v>
      </c>
    </row>
    <row r="1566" spans="1:2" ht="15">
      <c r="A1566" s="21">
        <f>+A1564-A1565</f>
        <v>0.0095</v>
      </c>
      <c r="B1566" s="20" t="s">
        <v>561</v>
      </c>
    </row>
    <row r="1567" spans="1:5" ht="15">
      <c r="A1567" s="21">
        <f>12.5*0.16/1000</f>
        <v>0.002</v>
      </c>
      <c r="B1567" s="20" t="s">
        <v>562</v>
      </c>
      <c r="C1567" s="20">
        <v>105.99</v>
      </c>
      <c r="D1567" s="35">
        <f>+A1567*C1567</f>
        <v>0.21198</v>
      </c>
      <c r="E1567" s="20" t="s">
        <v>484</v>
      </c>
    </row>
    <row r="1568" spans="1:5" ht="15">
      <c r="A1568" s="21">
        <f>+A1566-A1567</f>
        <v>0.0075</v>
      </c>
      <c r="B1568" s="20" t="s">
        <v>563</v>
      </c>
      <c r="C1568" s="42">
        <v>84</v>
      </c>
      <c r="D1568" s="35">
        <f>+A1568*C1568</f>
        <v>0.63</v>
      </c>
      <c r="E1568" s="20" t="s">
        <v>485</v>
      </c>
    </row>
    <row r="1569" spans="4:5" ht="15">
      <c r="D1569" s="35">
        <f>0.988-D1567-D1568</f>
        <v>0.14601999999999993</v>
      </c>
      <c r="E1569" s="20" t="s">
        <v>564</v>
      </c>
    </row>
    <row r="1572" spans="1:3" ht="15">
      <c r="A1572" s="32">
        <f>(1+10*0.01)*C1542</f>
        <v>0.550566331488116</v>
      </c>
      <c r="B1572" s="98">
        <f>+C1541/C1542</f>
        <v>0.4209894433067485</v>
      </c>
      <c r="C1572" s="20" t="s">
        <v>565</v>
      </c>
    </row>
    <row r="1573" ht="15">
      <c r="A1573" s="20">
        <f>1+10^4.04*0.01</f>
        <v>110.64781961431856</v>
      </c>
    </row>
    <row r="1574" ht="15">
      <c r="A1574" s="20">
        <f>10^5.38*0.01^2</f>
        <v>23.988329190194907</v>
      </c>
    </row>
    <row r="1575" ht="15">
      <c r="A1575" s="20">
        <f>+(A1573+A1574)*C1541</f>
        <v>28.369380388696765</v>
      </c>
    </row>
    <row r="1576" ht="15">
      <c r="A1576" s="98">
        <f>+A1575/A1572</f>
        <v>51.52763394016062</v>
      </c>
    </row>
    <row r="1578" spans="1:6" ht="15">
      <c r="A1578" s="31">
        <f>10/22.989</f>
        <v>0.43499064770107443</v>
      </c>
      <c r="B1578" s="293">
        <f>+A1578/$A$1579</f>
        <v>2.0011070624546266</v>
      </c>
      <c r="C1578" s="35">
        <f>100/189.596</f>
        <v>0.5274372877064917</v>
      </c>
      <c r="D1578" s="20">
        <f>13*500/26</f>
        <v>250</v>
      </c>
      <c r="E1578" s="32">
        <f>0.285/5</f>
        <v>0.056999999999999995</v>
      </c>
      <c r="F1578" s="20">
        <f>0.05*0.4</f>
        <v>0.020000000000000004</v>
      </c>
    </row>
    <row r="1579" spans="1:6" ht="15">
      <c r="A1579" s="35">
        <f>3.478/16</f>
        <v>0.217375</v>
      </c>
      <c r="B1579" s="293">
        <f>+A1579/$A$1579</f>
        <v>1</v>
      </c>
      <c r="C1579" s="35">
        <f>+C1578/3</f>
        <v>0.17581242923549723</v>
      </c>
      <c r="E1579" s="20">
        <f>0.855/5</f>
        <v>0.17099999999999999</v>
      </c>
      <c r="F1579" s="20">
        <f>+F1578/2</f>
        <v>0.010000000000000002</v>
      </c>
    </row>
    <row r="1580" spans="5:6" ht="15">
      <c r="E1580" s="20">
        <f>+E1579^3</f>
        <v>0.005000210999999999</v>
      </c>
      <c r="F1580" s="20">
        <f>+F1579/0.1</f>
        <v>0.10000000000000002</v>
      </c>
    </row>
    <row r="1581" ht="15">
      <c r="E1581" s="32">
        <f>+SQRT(E1578*E1580/0.156)</f>
        <v>0.04274342257092806</v>
      </c>
    </row>
    <row r="1582" ht="15">
      <c r="E1582" s="20">
        <f>+E1581*5</f>
        <v>0.2137171128546403</v>
      </c>
    </row>
    <row r="1586" ht="15">
      <c r="A1586" s="21"/>
    </row>
    <row r="1587" spans="1:3" ht="15">
      <c r="A1587" s="21"/>
      <c r="B1587" s="21"/>
      <c r="C1587" s="21"/>
    </row>
    <row r="1588" spans="1:4" ht="15">
      <c r="A1588" s="21">
        <f>1*0.015/0.082/293</f>
        <v>0.0006243236493798385</v>
      </c>
      <c r="B1588" s="21">
        <f>1*0.16/0.082/293</f>
        <v>0.00665945226005161</v>
      </c>
      <c r="C1588" s="20">
        <v>0</v>
      </c>
      <c r="D1588" s="20">
        <v>0</v>
      </c>
    </row>
    <row r="1589" spans="1:4" ht="15">
      <c r="A1589" s="21">
        <f>A1588</f>
        <v>0.0006243236493798385</v>
      </c>
      <c r="B1589" s="21">
        <f>+A1588*3/2</f>
        <v>0.0009364854740697578</v>
      </c>
      <c r="C1589" s="21">
        <f>+A1589</f>
        <v>0.0006243236493798385</v>
      </c>
      <c r="D1589" s="21">
        <f>+A1589</f>
        <v>0.0006243236493798385</v>
      </c>
    </row>
    <row r="1590" spans="1:4" ht="15">
      <c r="A1590" s="21">
        <f>+A1588-A1589</f>
        <v>0</v>
      </c>
      <c r="B1590" s="21">
        <f>+B1588-B1589</f>
        <v>0.005722966785981852</v>
      </c>
      <c r="C1590" s="21">
        <f>C1589</f>
        <v>0.0006243236493798385</v>
      </c>
      <c r="D1590" s="21">
        <f>D1589</f>
        <v>0.0006243236493798385</v>
      </c>
    </row>
    <row r="1592" spans="1:4" ht="15">
      <c r="A1592" s="32">
        <f>+A1588*0.082*293</f>
        <v>0.015</v>
      </c>
      <c r="B1592" s="35">
        <f>+B1588*0.082*293</f>
        <v>0.16</v>
      </c>
      <c r="C1592" s="35">
        <f>+C1588*0.082*293</f>
        <v>0</v>
      </c>
      <c r="D1592" s="35">
        <f>+D1588*0.082*293</f>
        <v>0</v>
      </c>
    </row>
    <row r="1593" spans="1:4" ht="15">
      <c r="A1593" s="32">
        <f>+A1589*0.082*293</f>
        <v>0.015</v>
      </c>
      <c r="B1593" s="35"/>
      <c r="C1593" s="35"/>
      <c r="D1593" s="35"/>
    </row>
    <row r="1594" spans="1:5" ht="15">
      <c r="A1594" s="32">
        <f>+A1590*0.082*293</f>
        <v>0</v>
      </c>
      <c r="B1594" s="35">
        <v>0.07</v>
      </c>
      <c r="C1594" s="35">
        <v>0.015</v>
      </c>
      <c r="D1594" s="35">
        <v>0.03</v>
      </c>
      <c r="E1594" s="35">
        <f>SUM(A1594:D1594)</f>
        <v>0.115</v>
      </c>
    </row>
    <row r="1596" spans="1:9" ht="15">
      <c r="A1596" s="21">
        <f>+A1592/0.082/293</f>
        <v>0.0006243236493798385</v>
      </c>
      <c r="B1596" s="21">
        <f>+B1592/0.082/293</f>
        <v>0.00665945226005161</v>
      </c>
      <c r="C1596" s="21">
        <f>+C1592/0.082/293</f>
        <v>0</v>
      </c>
      <c r="D1596" s="21">
        <f>+D1592/0.082/293</f>
        <v>0</v>
      </c>
      <c r="G1596" s="21">
        <f>0.09/0.082/293</f>
        <v>0.0037459418962790306</v>
      </c>
      <c r="I1596" s="20">
        <f>+B1596/32</f>
        <v>0.00020810788312661282</v>
      </c>
    </row>
    <row r="1597" spans="1:9" ht="15">
      <c r="A1597" s="21">
        <f>+A1593/0.082/293</f>
        <v>0.0006243236493798385</v>
      </c>
      <c r="B1597" s="21">
        <f>G1596</f>
        <v>0.0037459418962790306</v>
      </c>
      <c r="C1597" s="21">
        <f>+C1593/0.082/293</f>
        <v>0</v>
      </c>
      <c r="D1597" s="21">
        <f>+D1593/0.082/293</f>
        <v>0</v>
      </c>
      <c r="G1597" s="21">
        <f>+G1596/A1597</f>
        <v>5.999999999999999</v>
      </c>
      <c r="I1597" s="20">
        <f>+(0.075*32)/(0.082*293)</f>
        <v>0.09989178390077416</v>
      </c>
    </row>
    <row r="1598" spans="1:7" ht="15">
      <c r="A1598" s="21">
        <f>+A1594/0.082/293</f>
        <v>0</v>
      </c>
      <c r="B1598" s="21">
        <f>+B1594/0.082/293</f>
        <v>0.00291351036377258</v>
      </c>
      <c r="C1598" s="21">
        <f>A1597</f>
        <v>0.0006243236493798385</v>
      </c>
      <c r="D1598" s="21">
        <f>2*A1597</f>
        <v>0.001248647298759677</v>
      </c>
      <c r="G1598" s="21">
        <f>0.07/0.082/293</f>
        <v>0.00291351036377258</v>
      </c>
    </row>
    <row r="1599" spans="2:7" ht="15">
      <c r="B1599" s="21">
        <f>+B1597/A1597</f>
        <v>5.999999999999999</v>
      </c>
      <c r="C1599" s="21">
        <f>+C1598/A1597</f>
        <v>1</v>
      </c>
      <c r="D1599" s="21">
        <f>+D1598/A1597</f>
        <v>2</v>
      </c>
      <c r="G1599" s="21">
        <f>0.015/0.082/293</f>
        <v>0.0006243236493798385</v>
      </c>
    </row>
    <row r="1600" spans="1:7" ht="15">
      <c r="A1600" s="32">
        <f>+A1596*0.082*293</f>
        <v>0.015</v>
      </c>
      <c r="B1600" s="35">
        <f>+B1596*0.082*293</f>
        <v>0.16</v>
      </c>
      <c r="C1600" s="35">
        <f aca="true" t="shared" si="3" ref="C1600:D1602">+C1596*0.082*293</f>
        <v>0</v>
      </c>
      <c r="D1600" s="35">
        <f t="shared" si="3"/>
        <v>0</v>
      </c>
      <c r="E1600" s="35">
        <f>SUM(A1600:D1600)</f>
        <v>0.175</v>
      </c>
      <c r="G1600" s="21">
        <f>0.03/0.082/293</f>
        <v>0.001248647298759677</v>
      </c>
    </row>
    <row r="1601" spans="1:5" ht="15">
      <c r="A1601" s="32">
        <f>+A1597*0.082*293</f>
        <v>0.015</v>
      </c>
      <c r="B1601" s="35">
        <f>+B1597*0.082*293</f>
        <v>0.09</v>
      </c>
      <c r="C1601" s="35">
        <f t="shared" si="3"/>
        <v>0</v>
      </c>
      <c r="D1601" s="35">
        <f>+D1597*0.082*293</f>
        <v>0</v>
      </c>
      <c r="E1601" s="35"/>
    </row>
    <row r="1602" spans="1:5" ht="15">
      <c r="A1602" s="32">
        <f>+A1598*0.082*293</f>
        <v>0</v>
      </c>
      <c r="B1602" s="35">
        <f>+E1602-D1602-C1602</f>
        <v>0.085</v>
      </c>
      <c r="C1602" s="35">
        <f t="shared" si="3"/>
        <v>0.015</v>
      </c>
      <c r="D1602" s="35">
        <f>+D1598*0.082*293</f>
        <v>0.03</v>
      </c>
      <c r="E1602" s="35">
        <v>0.13</v>
      </c>
    </row>
    <row r="1603" spans="2:5" ht="15">
      <c r="B1603" s="35">
        <v>0.07</v>
      </c>
      <c r="C1603" s="35"/>
      <c r="D1603" s="35">
        <v>0.015</v>
      </c>
      <c r="E1603" s="35">
        <f>+E1602-C1602-D1602</f>
        <v>0.085</v>
      </c>
    </row>
    <row r="1606" spans="1:4" ht="15">
      <c r="A1606" s="21">
        <f>0.015/0.082/293</f>
        <v>0.0006243236493798385</v>
      </c>
      <c r="B1606" s="21">
        <f>0.16/0.082/293</f>
        <v>0.00665945226005161</v>
      </c>
      <c r="C1606" s="21">
        <v>0</v>
      </c>
      <c r="D1606" s="21">
        <v>0</v>
      </c>
    </row>
    <row r="1607" spans="1:4" ht="15">
      <c r="A1607" s="21">
        <f>A1606</f>
        <v>0.0006243236493798385</v>
      </c>
      <c r="B1607" s="21">
        <f>+A1607*5</f>
        <v>0.0031216182468991925</v>
      </c>
      <c r="C1607" s="21">
        <f>+A1607*3</f>
        <v>0.0018729709481395155</v>
      </c>
      <c r="D1607" s="21">
        <f>+A1607*4</f>
        <v>0.002497294597519354</v>
      </c>
    </row>
    <row r="1608" spans="1:4" ht="15">
      <c r="A1608" s="21">
        <f>+A1606-A1607</f>
        <v>0</v>
      </c>
      <c r="B1608" s="21">
        <f>+B1606-B1607</f>
        <v>0.0035378340131524176</v>
      </c>
      <c r="C1608" s="21">
        <f>C1607</f>
        <v>0.0018729709481395155</v>
      </c>
      <c r="D1608" s="21">
        <f>D1607</f>
        <v>0.002497294597519354</v>
      </c>
    </row>
    <row r="1610" spans="1:5" ht="15">
      <c r="A1610" s="32">
        <f>+A1606*44.096</f>
        <v>0.027530175643053358</v>
      </c>
      <c r="B1610" s="35">
        <f>+B1606*5*31.999</f>
        <v>1.0654790643469574</v>
      </c>
      <c r="E1610" s="35">
        <f>+A1610+B1610+C1610+D1610</f>
        <v>1.0930092399900107</v>
      </c>
    </row>
    <row r="1611" spans="1:5" ht="15">
      <c r="A1611" s="32">
        <f>+A1608*44.096</f>
        <v>0</v>
      </c>
      <c r="B1611" s="35">
        <f>+B1608*5*31.999</f>
        <v>0.566035752934321</v>
      </c>
      <c r="C1611" s="32">
        <f>+C1608*44.01</f>
        <v>0.08242945142762008</v>
      </c>
      <c r="D1611" s="31">
        <f>+D1608*18.015</f>
        <v>0.044988762174311164</v>
      </c>
      <c r="E1611" s="35">
        <f>+A1611+B1611+C1611+D1611</f>
        <v>0.6934539665362521</v>
      </c>
    </row>
    <row r="1612" spans="3:4" ht="15">
      <c r="C1612" s="310">
        <f>+C1611+D1611</f>
        <v>0.12741821360193123</v>
      </c>
      <c r="D1612" s="310"/>
    </row>
    <row r="1614" spans="1:256" ht="15">
      <c r="A1614" s="21">
        <v>0.0006243236493798385</v>
      </c>
      <c r="B1614" s="21">
        <v>0.00665945226005161</v>
      </c>
      <c r="C1614" s="21">
        <v>0</v>
      </c>
      <c r="D1614" s="21">
        <v>0</v>
      </c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21"/>
      <c r="AX1614" s="21"/>
      <c r="AY1614" s="21"/>
      <c r="AZ1614" s="21"/>
      <c r="BA1614" s="21"/>
      <c r="BB1614" s="21"/>
      <c r="BC1614" s="21"/>
      <c r="BD1614" s="21"/>
      <c r="BE1614" s="21"/>
      <c r="BF1614" s="21"/>
      <c r="BG1614" s="21"/>
      <c r="BH1614" s="21"/>
      <c r="BI1614" s="21"/>
      <c r="BJ1614" s="21"/>
      <c r="BK1614" s="21"/>
      <c r="BL1614" s="21"/>
      <c r="BM1614" s="21"/>
      <c r="BN1614" s="21"/>
      <c r="BO1614" s="21"/>
      <c r="BP1614" s="21"/>
      <c r="BQ1614" s="21"/>
      <c r="BR1614" s="21"/>
      <c r="BS1614" s="21"/>
      <c r="BT1614" s="21"/>
      <c r="BU1614" s="21"/>
      <c r="BV1614" s="21"/>
      <c r="BW1614" s="21"/>
      <c r="BX1614" s="21"/>
      <c r="BY1614" s="21"/>
      <c r="BZ1614" s="21"/>
      <c r="CA1614" s="21"/>
      <c r="CB1614" s="21"/>
      <c r="CC1614" s="21"/>
      <c r="CD1614" s="21"/>
      <c r="CE1614" s="21"/>
      <c r="CF1614" s="21"/>
      <c r="CG1614" s="21"/>
      <c r="CH1614" s="21"/>
      <c r="CI1614" s="21"/>
      <c r="CJ1614" s="21"/>
      <c r="CK1614" s="21"/>
      <c r="CL1614" s="21"/>
      <c r="CM1614" s="21"/>
      <c r="CN1614" s="21"/>
      <c r="CO1614" s="21"/>
      <c r="CP1614" s="21"/>
      <c r="CQ1614" s="21"/>
      <c r="CR1614" s="21"/>
      <c r="CS1614" s="21"/>
      <c r="CT1614" s="21"/>
      <c r="CU1614" s="21"/>
      <c r="CV1614" s="21"/>
      <c r="CW1614" s="21"/>
      <c r="CX1614" s="21"/>
      <c r="CY1614" s="21"/>
      <c r="CZ1614" s="21"/>
      <c r="DA1614" s="21"/>
      <c r="DB1614" s="21"/>
      <c r="DC1614" s="21"/>
      <c r="DD1614" s="21"/>
      <c r="DE1614" s="21"/>
      <c r="DF1614" s="21"/>
      <c r="DG1614" s="21"/>
      <c r="DH1614" s="21"/>
      <c r="DI1614" s="21"/>
      <c r="DJ1614" s="21"/>
      <c r="DK1614" s="21"/>
      <c r="DL1614" s="21"/>
      <c r="DM1614" s="21"/>
      <c r="DN1614" s="21"/>
      <c r="DO1614" s="21"/>
      <c r="DP1614" s="21"/>
      <c r="DQ1614" s="21"/>
      <c r="DR1614" s="21"/>
      <c r="DS1614" s="21"/>
      <c r="DT1614" s="21"/>
      <c r="DU1614" s="21"/>
      <c r="DV1614" s="21"/>
      <c r="DW1614" s="21"/>
      <c r="DX1614" s="21"/>
      <c r="DY1614" s="21"/>
      <c r="DZ1614" s="21"/>
      <c r="EA1614" s="21"/>
      <c r="EB1614" s="21"/>
      <c r="EC1614" s="21"/>
      <c r="ED1614" s="21"/>
      <c r="EE1614" s="21"/>
      <c r="EF1614" s="21"/>
      <c r="EG1614" s="21"/>
      <c r="EH1614" s="21"/>
      <c r="EI1614" s="21"/>
      <c r="EJ1614" s="21"/>
      <c r="EK1614" s="21"/>
      <c r="EL1614" s="21"/>
      <c r="EM1614" s="21"/>
      <c r="EN1614" s="21"/>
      <c r="EO1614" s="21"/>
      <c r="EP1614" s="21"/>
      <c r="EQ1614" s="21"/>
      <c r="ER1614" s="21"/>
      <c r="ES1614" s="21"/>
      <c r="ET1614" s="21"/>
      <c r="EU1614" s="21"/>
      <c r="EV1614" s="21"/>
      <c r="EW1614" s="21"/>
      <c r="EX1614" s="21"/>
      <c r="EY1614" s="21"/>
      <c r="EZ1614" s="21"/>
      <c r="FA1614" s="21"/>
      <c r="FB1614" s="21"/>
      <c r="FC1614" s="21"/>
      <c r="FD1614" s="21"/>
      <c r="FE1614" s="21"/>
      <c r="FF1614" s="21"/>
      <c r="FG1614" s="21"/>
      <c r="FH1614" s="21"/>
      <c r="FI1614" s="21"/>
      <c r="FJ1614" s="21"/>
      <c r="FK1614" s="21"/>
      <c r="FL1614" s="21"/>
      <c r="FM1614" s="21"/>
      <c r="FN1614" s="21"/>
      <c r="FO1614" s="21"/>
      <c r="FP1614" s="21"/>
      <c r="FQ1614" s="21"/>
      <c r="FR1614" s="21"/>
      <c r="FS1614" s="21"/>
      <c r="FT1614" s="21"/>
      <c r="FU1614" s="21"/>
      <c r="FV1614" s="21"/>
      <c r="FW1614" s="21"/>
      <c r="FX1614" s="21"/>
      <c r="FY1614" s="21"/>
      <c r="FZ1614" s="21"/>
      <c r="GA1614" s="21"/>
      <c r="GB1614" s="21"/>
      <c r="GC1614" s="21"/>
      <c r="GD1614" s="21"/>
      <c r="GE1614" s="21"/>
      <c r="GF1614" s="21"/>
      <c r="GG1614" s="21"/>
      <c r="GH1614" s="21"/>
      <c r="GI1614" s="21"/>
      <c r="GJ1614" s="21"/>
      <c r="GK1614" s="21"/>
      <c r="GL1614" s="21"/>
      <c r="GM1614" s="21"/>
      <c r="GN1614" s="21"/>
      <c r="GO1614" s="21"/>
      <c r="GP1614" s="21"/>
      <c r="GQ1614" s="21"/>
      <c r="GR1614" s="21"/>
      <c r="GS1614" s="21"/>
      <c r="GT1614" s="21"/>
      <c r="GU1614" s="21"/>
      <c r="GV1614" s="21"/>
      <c r="GW1614" s="21"/>
      <c r="GX1614" s="21"/>
      <c r="GY1614" s="21"/>
      <c r="GZ1614" s="21"/>
      <c r="HA1614" s="21"/>
      <c r="HB1614" s="21"/>
      <c r="HC1614" s="21"/>
      <c r="HD1614" s="21"/>
      <c r="HE1614" s="21"/>
      <c r="HF1614" s="21"/>
      <c r="HG1614" s="21"/>
      <c r="HH1614" s="21"/>
      <c r="HI1614" s="21"/>
      <c r="HJ1614" s="21"/>
      <c r="HK1614" s="21"/>
      <c r="HL1614" s="21"/>
      <c r="HM1614" s="21"/>
      <c r="HN1614" s="21"/>
      <c r="HO1614" s="21"/>
      <c r="HP1614" s="21"/>
      <c r="HQ1614" s="21"/>
      <c r="HR1614" s="21"/>
      <c r="HS1614" s="21"/>
      <c r="HT1614" s="21"/>
      <c r="HU1614" s="21"/>
      <c r="HV1614" s="21"/>
      <c r="HW1614" s="21"/>
      <c r="HX1614" s="21"/>
      <c r="HY1614" s="21"/>
      <c r="HZ1614" s="21"/>
      <c r="IA1614" s="21"/>
      <c r="IB1614" s="21"/>
      <c r="IC1614" s="21"/>
      <c r="ID1614" s="21"/>
      <c r="IE1614" s="21"/>
      <c r="IF1614" s="21"/>
      <c r="IG1614" s="21"/>
      <c r="IH1614" s="21"/>
      <c r="II1614" s="21"/>
      <c r="IJ1614" s="21"/>
      <c r="IK1614" s="21"/>
      <c r="IL1614" s="21"/>
      <c r="IM1614" s="21"/>
      <c r="IN1614" s="21"/>
      <c r="IO1614" s="21"/>
      <c r="IP1614" s="21"/>
      <c r="IQ1614" s="21"/>
      <c r="IR1614" s="21"/>
      <c r="IS1614" s="21"/>
      <c r="IT1614" s="21"/>
      <c r="IU1614" s="21"/>
      <c r="IV1614" s="21"/>
    </row>
    <row r="1615" spans="1:256" ht="15">
      <c r="A1615" s="21">
        <v>0.0006243236493798385</v>
      </c>
      <c r="B1615" s="21">
        <v>0.0037459418962790306</v>
      </c>
      <c r="C1615" s="21">
        <v>0</v>
      </c>
      <c r="D1615" s="21">
        <v>0</v>
      </c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21"/>
      <c r="AX1615" s="21"/>
      <c r="AY1615" s="21"/>
      <c r="AZ1615" s="21"/>
      <c r="BA1615" s="21"/>
      <c r="BB1615" s="21"/>
      <c r="BC1615" s="21"/>
      <c r="BD1615" s="21"/>
      <c r="BE1615" s="21"/>
      <c r="BF1615" s="21"/>
      <c r="BG1615" s="21"/>
      <c r="BH1615" s="21"/>
      <c r="BI1615" s="21"/>
      <c r="BJ1615" s="21"/>
      <c r="BK1615" s="21"/>
      <c r="BL1615" s="21"/>
      <c r="BM1615" s="21"/>
      <c r="BN1615" s="21"/>
      <c r="BO1615" s="21"/>
      <c r="BP1615" s="21"/>
      <c r="BQ1615" s="21"/>
      <c r="BR1615" s="21"/>
      <c r="BS1615" s="21"/>
      <c r="BT1615" s="21"/>
      <c r="BU1615" s="21"/>
      <c r="BV1615" s="21"/>
      <c r="BW1615" s="21"/>
      <c r="BX1615" s="21"/>
      <c r="BY1615" s="21"/>
      <c r="BZ1615" s="21"/>
      <c r="CA1615" s="21"/>
      <c r="CB1615" s="21"/>
      <c r="CC1615" s="21"/>
      <c r="CD1615" s="21"/>
      <c r="CE1615" s="21"/>
      <c r="CF1615" s="21"/>
      <c r="CG1615" s="21"/>
      <c r="CH1615" s="21"/>
      <c r="CI1615" s="21"/>
      <c r="CJ1615" s="21"/>
      <c r="CK1615" s="21"/>
      <c r="CL1615" s="21"/>
      <c r="CM1615" s="21"/>
      <c r="CN1615" s="21"/>
      <c r="CO1615" s="21"/>
      <c r="CP1615" s="21"/>
      <c r="CQ1615" s="21"/>
      <c r="CR1615" s="21"/>
      <c r="CS1615" s="21"/>
      <c r="CT1615" s="21"/>
      <c r="CU1615" s="21"/>
      <c r="CV1615" s="21"/>
      <c r="CW1615" s="21"/>
      <c r="CX1615" s="21"/>
      <c r="CY1615" s="21"/>
      <c r="CZ1615" s="21"/>
      <c r="DA1615" s="21"/>
      <c r="DB1615" s="21"/>
      <c r="DC1615" s="21"/>
      <c r="DD1615" s="21"/>
      <c r="DE1615" s="21"/>
      <c r="DF1615" s="21"/>
      <c r="DG1615" s="21"/>
      <c r="DH1615" s="21"/>
      <c r="DI1615" s="21"/>
      <c r="DJ1615" s="21"/>
      <c r="DK1615" s="21"/>
      <c r="DL1615" s="21"/>
      <c r="DM1615" s="21"/>
      <c r="DN1615" s="21"/>
      <c r="DO1615" s="21"/>
      <c r="DP1615" s="21"/>
      <c r="DQ1615" s="21"/>
      <c r="DR1615" s="21"/>
      <c r="DS1615" s="21"/>
      <c r="DT1615" s="21"/>
      <c r="DU1615" s="21"/>
      <c r="DV1615" s="21"/>
      <c r="DW1615" s="21"/>
      <c r="DX1615" s="21"/>
      <c r="DY1615" s="21"/>
      <c r="DZ1615" s="21"/>
      <c r="EA1615" s="21"/>
      <c r="EB1615" s="21"/>
      <c r="EC1615" s="21"/>
      <c r="ED1615" s="21"/>
      <c r="EE1615" s="21"/>
      <c r="EF1615" s="21"/>
      <c r="EG1615" s="21"/>
      <c r="EH1615" s="21"/>
      <c r="EI1615" s="21"/>
      <c r="EJ1615" s="21"/>
      <c r="EK1615" s="21"/>
      <c r="EL1615" s="21"/>
      <c r="EM1615" s="21"/>
      <c r="EN1615" s="21"/>
      <c r="EO1615" s="21"/>
      <c r="EP1615" s="21"/>
      <c r="EQ1615" s="21"/>
      <c r="ER1615" s="21"/>
      <c r="ES1615" s="21"/>
      <c r="ET1615" s="21"/>
      <c r="EU1615" s="21"/>
      <c r="EV1615" s="21"/>
      <c r="EW1615" s="21"/>
      <c r="EX1615" s="21"/>
      <c r="EY1615" s="21"/>
      <c r="EZ1615" s="21"/>
      <c r="FA1615" s="21"/>
      <c r="FB1615" s="21"/>
      <c r="FC1615" s="21"/>
      <c r="FD1615" s="21"/>
      <c r="FE1615" s="21"/>
      <c r="FF1615" s="21"/>
      <c r="FG1615" s="21"/>
      <c r="FH1615" s="21"/>
      <c r="FI1615" s="21"/>
      <c r="FJ1615" s="21"/>
      <c r="FK1615" s="21"/>
      <c r="FL1615" s="21"/>
      <c r="FM1615" s="21"/>
      <c r="FN1615" s="21"/>
      <c r="FO1615" s="21"/>
      <c r="FP1615" s="21"/>
      <c r="FQ1615" s="21"/>
      <c r="FR1615" s="21"/>
      <c r="FS1615" s="21"/>
      <c r="FT1615" s="21"/>
      <c r="FU1615" s="21"/>
      <c r="FV1615" s="21"/>
      <c r="FW1615" s="21"/>
      <c r="FX1615" s="21"/>
      <c r="FY1615" s="21"/>
      <c r="FZ1615" s="21"/>
      <c r="GA1615" s="21"/>
      <c r="GB1615" s="21"/>
      <c r="GC1615" s="21"/>
      <c r="GD1615" s="21"/>
      <c r="GE1615" s="21"/>
      <c r="GF1615" s="21"/>
      <c r="GG1615" s="21"/>
      <c r="GH1615" s="21"/>
      <c r="GI1615" s="21"/>
      <c r="GJ1615" s="21"/>
      <c r="GK1615" s="21"/>
      <c r="GL1615" s="21"/>
      <c r="GM1615" s="21"/>
      <c r="GN1615" s="21"/>
      <c r="GO1615" s="21"/>
      <c r="GP1615" s="21"/>
      <c r="GQ1615" s="21"/>
      <c r="GR1615" s="21"/>
      <c r="GS1615" s="21"/>
      <c r="GT1615" s="21"/>
      <c r="GU1615" s="21"/>
      <c r="GV1615" s="21"/>
      <c r="GW1615" s="21"/>
      <c r="GX1615" s="21"/>
      <c r="GY1615" s="21"/>
      <c r="GZ1615" s="21"/>
      <c r="HA1615" s="21"/>
      <c r="HB1615" s="21"/>
      <c r="HC1615" s="21"/>
      <c r="HD1615" s="21"/>
      <c r="HE1615" s="21"/>
      <c r="HF1615" s="21"/>
      <c r="HG1615" s="21"/>
      <c r="HH1615" s="21"/>
      <c r="HI1615" s="21"/>
      <c r="HJ1615" s="21"/>
      <c r="HK1615" s="21"/>
      <c r="HL1615" s="21"/>
      <c r="HM1615" s="21"/>
      <c r="HN1615" s="21"/>
      <c r="HO1615" s="21"/>
      <c r="HP1615" s="21"/>
      <c r="HQ1615" s="21"/>
      <c r="HR1615" s="21"/>
      <c r="HS1615" s="21"/>
      <c r="HT1615" s="21"/>
      <c r="HU1615" s="21"/>
      <c r="HV1615" s="21"/>
      <c r="HW1615" s="21"/>
      <c r="HX1615" s="21"/>
      <c r="HY1615" s="21"/>
      <c r="HZ1615" s="21"/>
      <c r="IA1615" s="21"/>
      <c r="IB1615" s="21"/>
      <c r="IC1615" s="21"/>
      <c r="ID1615" s="21"/>
      <c r="IE1615" s="21"/>
      <c r="IF1615" s="21"/>
      <c r="IG1615" s="21"/>
      <c r="IH1615" s="21"/>
      <c r="II1615" s="21"/>
      <c r="IJ1615" s="21"/>
      <c r="IK1615" s="21"/>
      <c r="IL1615" s="21"/>
      <c r="IM1615" s="21"/>
      <c r="IN1615" s="21"/>
      <c r="IO1615" s="21"/>
      <c r="IP1615" s="21"/>
      <c r="IQ1615" s="21"/>
      <c r="IR1615" s="21"/>
      <c r="IS1615" s="21"/>
      <c r="IT1615" s="21"/>
      <c r="IU1615" s="21"/>
      <c r="IV1615" s="21"/>
    </row>
    <row r="1616" spans="1:256" ht="15">
      <c r="A1616" s="21">
        <v>0</v>
      </c>
      <c r="B1616" s="21">
        <v>0.00291351036377258</v>
      </c>
      <c r="C1616" s="21">
        <v>0.0006243236493798385</v>
      </c>
      <c r="D1616" s="21">
        <v>0.001248647298759677</v>
      </c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21"/>
      <c r="AX1616" s="21"/>
      <c r="AY1616" s="21"/>
      <c r="AZ1616" s="21"/>
      <c r="BA1616" s="21"/>
      <c r="BB1616" s="21"/>
      <c r="BC1616" s="21"/>
      <c r="BD1616" s="21"/>
      <c r="BE1616" s="21"/>
      <c r="BF1616" s="21"/>
      <c r="BG1616" s="21"/>
      <c r="BH1616" s="21"/>
      <c r="BI1616" s="21"/>
      <c r="BJ1616" s="21"/>
      <c r="BK1616" s="21"/>
      <c r="BL1616" s="21"/>
      <c r="BM1616" s="21"/>
      <c r="BN1616" s="21"/>
      <c r="BO1616" s="21"/>
      <c r="BP1616" s="21"/>
      <c r="BQ1616" s="21"/>
      <c r="BR1616" s="21"/>
      <c r="BS1616" s="21"/>
      <c r="BT1616" s="21"/>
      <c r="BU1616" s="21"/>
      <c r="BV1616" s="21"/>
      <c r="BW1616" s="21"/>
      <c r="BX1616" s="21"/>
      <c r="BY1616" s="21"/>
      <c r="BZ1616" s="21"/>
      <c r="CA1616" s="21"/>
      <c r="CB1616" s="21"/>
      <c r="CC1616" s="21"/>
      <c r="CD1616" s="21"/>
      <c r="CE1616" s="21"/>
      <c r="CF1616" s="21"/>
      <c r="CG1616" s="21"/>
      <c r="CH1616" s="21"/>
      <c r="CI1616" s="21"/>
      <c r="CJ1616" s="21"/>
      <c r="CK1616" s="21"/>
      <c r="CL1616" s="21"/>
      <c r="CM1616" s="21"/>
      <c r="CN1616" s="21"/>
      <c r="CO1616" s="21"/>
      <c r="CP1616" s="21"/>
      <c r="CQ1616" s="21"/>
      <c r="CR1616" s="21"/>
      <c r="CS1616" s="21"/>
      <c r="CT1616" s="21"/>
      <c r="CU1616" s="21"/>
      <c r="CV1616" s="21"/>
      <c r="CW1616" s="21"/>
      <c r="CX1616" s="21"/>
      <c r="CY1616" s="21"/>
      <c r="CZ1616" s="21"/>
      <c r="DA1616" s="21"/>
      <c r="DB1616" s="21"/>
      <c r="DC1616" s="21"/>
      <c r="DD1616" s="21"/>
      <c r="DE1616" s="21"/>
      <c r="DF1616" s="21"/>
      <c r="DG1616" s="21"/>
      <c r="DH1616" s="21"/>
      <c r="DI1616" s="21"/>
      <c r="DJ1616" s="21"/>
      <c r="DK1616" s="21"/>
      <c r="DL1616" s="21"/>
      <c r="DM1616" s="21"/>
      <c r="DN1616" s="21"/>
      <c r="DO1616" s="21"/>
      <c r="DP1616" s="21"/>
      <c r="DQ1616" s="21"/>
      <c r="DR1616" s="21"/>
      <c r="DS1616" s="21"/>
      <c r="DT1616" s="21"/>
      <c r="DU1616" s="21"/>
      <c r="DV1616" s="21"/>
      <c r="DW1616" s="21"/>
      <c r="DX1616" s="21"/>
      <c r="DY1616" s="21"/>
      <c r="DZ1616" s="21"/>
      <c r="EA1616" s="21"/>
      <c r="EB1616" s="21"/>
      <c r="EC1616" s="21"/>
      <c r="ED1616" s="21"/>
      <c r="EE1616" s="21"/>
      <c r="EF1616" s="21"/>
      <c r="EG1616" s="21"/>
      <c r="EH1616" s="21"/>
      <c r="EI1616" s="21"/>
      <c r="EJ1616" s="21"/>
      <c r="EK1616" s="21"/>
      <c r="EL1616" s="21"/>
      <c r="EM1616" s="21"/>
      <c r="EN1616" s="21"/>
      <c r="EO1616" s="21"/>
      <c r="EP1616" s="21"/>
      <c r="EQ1616" s="21"/>
      <c r="ER1616" s="21"/>
      <c r="ES1616" s="21"/>
      <c r="ET1616" s="21"/>
      <c r="EU1616" s="21"/>
      <c r="EV1616" s="21"/>
      <c r="EW1616" s="21"/>
      <c r="EX1616" s="21"/>
      <c r="EY1616" s="21"/>
      <c r="EZ1616" s="21"/>
      <c r="FA1616" s="21"/>
      <c r="FB1616" s="21"/>
      <c r="FC1616" s="21"/>
      <c r="FD1616" s="21"/>
      <c r="FE1616" s="21"/>
      <c r="FF1616" s="21"/>
      <c r="FG1616" s="21"/>
      <c r="FH1616" s="21"/>
      <c r="FI1616" s="21"/>
      <c r="FJ1616" s="21"/>
      <c r="FK1616" s="21"/>
      <c r="FL1616" s="21"/>
      <c r="FM1616" s="21"/>
      <c r="FN1616" s="21"/>
      <c r="FO1616" s="21"/>
      <c r="FP1616" s="21"/>
      <c r="FQ1616" s="21"/>
      <c r="FR1616" s="21"/>
      <c r="FS1616" s="21"/>
      <c r="FT1616" s="21"/>
      <c r="FU1616" s="21"/>
      <c r="FV1616" s="21"/>
      <c r="FW1616" s="21"/>
      <c r="FX1616" s="21"/>
      <c r="FY1616" s="21"/>
      <c r="FZ1616" s="21"/>
      <c r="GA1616" s="21"/>
      <c r="GB1616" s="21"/>
      <c r="GC1616" s="21"/>
      <c r="GD1616" s="21"/>
      <c r="GE1616" s="21"/>
      <c r="GF1616" s="21"/>
      <c r="GG1616" s="21"/>
      <c r="GH1616" s="21"/>
      <c r="GI1616" s="21"/>
      <c r="GJ1616" s="21"/>
      <c r="GK1616" s="21"/>
      <c r="GL1616" s="21"/>
      <c r="GM1616" s="21"/>
      <c r="GN1616" s="21"/>
      <c r="GO1616" s="21"/>
      <c r="GP1616" s="21"/>
      <c r="GQ1616" s="21"/>
      <c r="GR1616" s="21"/>
      <c r="GS1616" s="21"/>
      <c r="GT1616" s="21"/>
      <c r="GU1616" s="21"/>
      <c r="GV1616" s="21"/>
      <c r="GW1616" s="21"/>
      <c r="GX1616" s="21"/>
      <c r="GY1616" s="21"/>
      <c r="GZ1616" s="21"/>
      <c r="HA1616" s="21"/>
      <c r="HB1616" s="21"/>
      <c r="HC1616" s="21"/>
      <c r="HD1616" s="21"/>
      <c r="HE1616" s="21"/>
      <c r="HF1616" s="21"/>
      <c r="HG1616" s="21"/>
      <c r="HH1616" s="21"/>
      <c r="HI1616" s="21"/>
      <c r="HJ1616" s="21"/>
      <c r="HK1616" s="21"/>
      <c r="HL1616" s="21"/>
      <c r="HM1616" s="21"/>
      <c r="HN1616" s="21"/>
      <c r="HO1616" s="21"/>
      <c r="HP1616" s="21"/>
      <c r="HQ1616" s="21"/>
      <c r="HR1616" s="21"/>
      <c r="HS1616" s="21"/>
      <c r="HT1616" s="21"/>
      <c r="HU1616" s="21"/>
      <c r="HV1616" s="21"/>
      <c r="HW1616" s="21"/>
      <c r="HX1616" s="21"/>
      <c r="HY1616" s="21"/>
      <c r="HZ1616" s="21"/>
      <c r="IA1616" s="21"/>
      <c r="IB1616" s="21"/>
      <c r="IC1616" s="21"/>
      <c r="ID1616" s="21"/>
      <c r="IE1616" s="21"/>
      <c r="IF1616" s="21"/>
      <c r="IG1616" s="21"/>
      <c r="IH1616" s="21"/>
      <c r="II1616" s="21"/>
      <c r="IJ1616" s="21"/>
      <c r="IK1616" s="21"/>
      <c r="IL1616" s="21"/>
      <c r="IM1616" s="21"/>
      <c r="IN1616" s="21"/>
      <c r="IO1616" s="21"/>
      <c r="IP1616" s="21"/>
      <c r="IQ1616" s="21"/>
      <c r="IR1616" s="21"/>
      <c r="IS1616" s="21"/>
      <c r="IT1616" s="21"/>
      <c r="IU1616" s="21"/>
      <c r="IV1616" s="21"/>
    </row>
    <row r="1618" spans="1:5" ht="15">
      <c r="A1618" s="20">
        <f>+A1614*44.096</f>
        <v>0.027530175643053358</v>
      </c>
      <c r="B1618" s="20">
        <f>+B1614*5*31.999</f>
        <v>1.0654790643469574</v>
      </c>
      <c r="E1618" s="35">
        <f>+A1618+B1618+C1618+D1618</f>
        <v>1.0930092399900107</v>
      </c>
    </row>
    <row r="1619" spans="1:5" ht="15">
      <c r="A1619" s="20">
        <f>+A1616*44.096</f>
        <v>0</v>
      </c>
      <c r="B1619" s="20">
        <f>+B1616*5*31.999</f>
        <v>0.4661470906517939</v>
      </c>
      <c r="C1619" s="20">
        <f>+C1616*44.01</f>
        <v>0.02747648380920669</v>
      </c>
      <c r="D1619" s="20">
        <f>+D1616*18.015</f>
        <v>0.022494381087155582</v>
      </c>
      <c r="E1619" s="35">
        <f>+A1619+B1619+C1619+D1619</f>
        <v>0.5161179555481562</v>
      </c>
    </row>
    <row r="1620" spans="3:4" ht="15">
      <c r="C1620" s="310">
        <f>+C1619+D1619</f>
        <v>0.04997086489636227</v>
      </c>
      <c r="D1620" s="310"/>
    </row>
    <row r="1622" spans="1:8" ht="15">
      <c r="A1622" s="208" t="s">
        <v>566</v>
      </c>
      <c r="B1622" s="294" t="s">
        <v>567</v>
      </c>
      <c r="C1622" s="294" t="s">
        <v>64</v>
      </c>
      <c r="D1622" s="294" t="s">
        <v>82</v>
      </c>
      <c r="E1622" s="294" t="s">
        <v>84</v>
      </c>
      <c r="G1622" s="208" t="s">
        <v>566</v>
      </c>
      <c r="H1622" s="294" t="s">
        <v>28</v>
      </c>
    </row>
    <row r="1623" spans="1:8" ht="15">
      <c r="A1623" s="20">
        <v>11.304</v>
      </c>
      <c r="B1623" s="20">
        <v>0.423</v>
      </c>
      <c r="C1623" s="20">
        <v>56.97</v>
      </c>
      <c r="D1623" s="20">
        <v>8.346</v>
      </c>
      <c r="E1623" s="20">
        <v>8.436</v>
      </c>
      <c r="F1623" s="20">
        <f>SUM(C1623:E1623)</f>
        <v>73.75200000000001</v>
      </c>
      <c r="G1623" s="20">
        <v>30.84</v>
      </c>
      <c r="H1623" s="20">
        <f>+F1623-G1623</f>
        <v>42.912000000000006</v>
      </c>
    </row>
    <row r="1624" spans="1:8" ht="15">
      <c r="A1624" s="44">
        <f>+A1623/B1625</f>
        <v>167.02127659574467</v>
      </c>
      <c r="B1624" s="20">
        <v>0.16</v>
      </c>
      <c r="C1624" s="20">
        <v>44.01</v>
      </c>
      <c r="D1624" s="20">
        <v>18.02</v>
      </c>
      <c r="E1624" s="20">
        <v>46.01</v>
      </c>
      <c r="G1624" s="42">
        <f>A1624</f>
        <v>167.02127659574467</v>
      </c>
      <c r="H1624" s="20">
        <v>31.999</v>
      </c>
    </row>
    <row r="1625" spans="2:8" ht="15">
      <c r="B1625" s="32">
        <f>+B1623*B1624</f>
        <v>0.06768</v>
      </c>
      <c r="C1625" s="54">
        <f>+C1623/C1624</f>
        <v>1.294478527607362</v>
      </c>
      <c r="D1625" s="54">
        <f>+D1623/D1624</f>
        <v>0.4631520532741399</v>
      </c>
      <c r="E1625" s="54">
        <f>+E1623/E1624</f>
        <v>0.18335144533797001</v>
      </c>
      <c r="F1625" s="35">
        <f>SUM(C1625:E1625)</f>
        <v>1.940982026219472</v>
      </c>
      <c r="G1625" s="54">
        <f>+G1623/G1624</f>
        <v>0.1846471337579618</v>
      </c>
      <c r="H1625" s="54">
        <f>+H1623/H1624</f>
        <v>1.3410419075596114</v>
      </c>
    </row>
    <row r="1626" spans="3:8" ht="15">
      <c r="C1626" s="20">
        <v>12.01</v>
      </c>
      <c r="D1626" s="20">
        <v>1.01</v>
      </c>
      <c r="E1626" s="20">
        <v>14.01</v>
      </c>
      <c r="H1626" s="20">
        <v>15.999</v>
      </c>
    </row>
    <row r="1627" spans="3:8" ht="15">
      <c r="C1627" s="35">
        <f>+C1625*C1626</f>
        <v>15.546687116564417</v>
      </c>
      <c r="D1627" s="35">
        <f>+D1625*D1626*2</f>
        <v>0.9355671476137626</v>
      </c>
      <c r="E1627" s="35">
        <f>+E1625*E1626</f>
        <v>2.56875374918496</v>
      </c>
      <c r="F1627" s="35">
        <f>SUM(C1627:E1627)</f>
        <v>19.05100801336314</v>
      </c>
      <c r="H1627" s="35">
        <f>+H1625*H1626</f>
        <v>21.455329479046224</v>
      </c>
    </row>
    <row r="1629" spans="3:4" ht="15">
      <c r="C1629" s="208" t="s">
        <v>566</v>
      </c>
      <c r="D1629" s="58">
        <f>+G1625/E1625</f>
        <v>1.0070666932436962</v>
      </c>
    </row>
    <row r="1630" spans="3:5" ht="15">
      <c r="C1630" s="208" t="s">
        <v>28</v>
      </c>
      <c r="D1630" s="58">
        <f>+H1625/E1625</f>
        <v>7.3140514659575295</v>
      </c>
      <c r="E1630" s="60"/>
    </row>
    <row r="1631" spans="3:5" ht="15">
      <c r="C1631" s="208" t="s">
        <v>64</v>
      </c>
      <c r="D1631" s="58">
        <f>+C1625/E1625</f>
        <v>7.0600944826001335</v>
      </c>
      <c r="E1631" s="60">
        <f>+D1631*C1626</f>
        <v>84.7917347360276</v>
      </c>
    </row>
    <row r="1632" spans="3:5" ht="15">
      <c r="C1632" s="208" t="s">
        <v>82</v>
      </c>
      <c r="D1632" s="58">
        <f>+D1625/E1625</f>
        <v>2.526034373061069</v>
      </c>
      <c r="E1632" s="60">
        <f>+D1632*2*D1626</f>
        <v>5.1025894335833595</v>
      </c>
    </row>
    <row r="1633" spans="3:5" ht="15">
      <c r="C1633" s="208" t="s">
        <v>84</v>
      </c>
      <c r="D1633" s="58">
        <f>+E1625/E1625</f>
        <v>1</v>
      </c>
      <c r="E1633" s="60">
        <f>+D1633*E1626</f>
        <v>14.01</v>
      </c>
    </row>
    <row r="1634" ht="15">
      <c r="E1634" s="60">
        <f>SUM(E1631:E1633)</f>
        <v>103.90432416961097</v>
      </c>
    </row>
    <row r="1635" ht="15">
      <c r="E1635" s="60">
        <f>+A1624-E1634</f>
        <v>63.11695242613369</v>
      </c>
    </row>
    <row r="1636" ht="15">
      <c r="E1636" s="58">
        <f>+E1635/H1626</f>
        <v>3.945056092639146</v>
      </c>
    </row>
    <row r="1637" spans="1:3" ht="15">
      <c r="A1637" s="20">
        <v>0.46</v>
      </c>
      <c r="B1637" s="20">
        <f>+A1637/10</f>
        <v>0.046</v>
      </c>
      <c r="C1637" s="20">
        <f>+B1640^4*B1637/B1639^2</f>
        <v>0.036770640702253325</v>
      </c>
    </row>
    <row r="1638" ht="15">
      <c r="A1638" s="20">
        <v>0.24</v>
      </c>
    </row>
    <row r="1639" spans="1:2" ht="15">
      <c r="A1639" s="20">
        <f>0.844-2*A1638</f>
        <v>0.364</v>
      </c>
      <c r="B1639" s="20">
        <f>+A1639/10</f>
        <v>0.0364</v>
      </c>
    </row>
    <row r="1640" spans="1:2" ht="15">
      <c r="A1640" s="58">
        <f>0.844+4*A1638</f>
        <v>1.8039999999999998</v>
      </c>
      <c r="B1640" s="20">
        <f>+A1640/10</f>
        <v>0.18039999999999998</v>
      </c>
    </row>
    <row r="1642" spans="1:8" ht="15">
      <c r="A1642" s="20">
        <v>0.844</v>
      </c>
      <c r="B1642" s="20">
        <f>+A1642/10</f>
        <v>0.0844</v>
      </c>
      <c r="C1642" s="21">
        <f>+B1642^4*B1643/B1644^2</f>
        <v>0.00015671392</v>
      </c>
      <c r="D1642" s="20">
        <v>0.844</v>
      </c>
      <c r="E1642" s="20">
        <f>-2*A1638</f>
        <v>-0.48</v>
      </c>
      <c r="F1642" s="20">
        <f>+D1642+E1642</f>
        <v>0.364</v>
      </c>
      <c r="G1642" s="20">
        <f>+F1642/10</f>
        <v>0.0364</v>
      </c>
      <c r="H1642" s="20">
        <f>+G1644^4*G1643/F1642^2</f>
        <v>0.0003677064070225332</v>
      </c>
    </row>
    <row r="1643" spans="1:7" ht="15">
      <c r="A1643" s="20">
        <v>0.22</v>
      </c>
      <c r="B1643" s="20">
        <f>+A1643/10</f>
        <v>0.022</v>
      </c>
      <c r="D1643" s="20">
        <v>0.22</v>
      </c>
      <c r="F1643" s="20">
        <v>0.46</v>
      </c>
      <c r="G1643" s="20">
        <f>+F1643/10</f>
        <v>0.046</v>
      </c>
    </row>
    <row r="1644" spans="1:7" ht="15">
      <c r="A1644" s="20">
        <v>0.844</v>
      </c>
      <c r="B1644" s="20">
        <f>+A1644/10</f>
        <v>0.0844</v>
      </c>
      <c r="D1644" s="20">
        <v>0.844</v>
      </c>
      <c r="E1644" s="20">
        <f>4*A1638</f>
        <v>0.96</v>
      </c>
      <c r="F1644" s="20">
        <f>+D1644+E1644</f>
        <v>1.8039999999999998</v>
      </c>
      <c r="G1644" s="20">
        <f>+F1644/10</f>
        <v>0.18039999999999998</v>
      </c>
    </row>
  </sheetData>
  <sheetProtection/>
  <mergeCells count="72">
    <mergeCell ref="H1523:P1523"/>
    <mergeCell ref="H1517:P1517"/>
    <mergeCell ref="E1496:F1496"/>
    <mergeCell ref="E1352:E1356"/>
    <mergeCell ref="E1357:E1360"/>
    <mergeCell ref="G1352:G1356"/>
    <mergeCell ref="G1357:G1360"/>
    <mergeCell ref="A1330:C1330"/>
    <mergeCell ref="D1330:H1330"/>
    <mergeCell ref="F1345:F1346"/>
    <mergeCell ref="F1347:F1348"/>
    <mergeCell ref="H1345:H1346"/>
    <mergeCell ref="H1347:H1348"/>
    <mergeCell ref="N72:N74"/>
    <mergeCell ref="K278:K289"/>
    <mergeCell ref="O1179:O1181"/>
    <mergeCell ref="A446:A447"/>
    <mergeCell ref="A444:C444"/>
    <mergeCell ref="D444:F444"/>
    <mergeCell ref="D451:D452"/>
    <mergeCell ref="E451:E452"/>
    <mergeCell ref="B450:E450"/>
    <mergeCell ref="A468:A470"/>
    <mergeCell ref="Q1185:Q1186"/>
    <mergeCell ref="L1182:L1184"/>
    <mergeCell ref="O1182:O1184"/>
    <mergeCell ref="P1169:P1170"/>
    <mergeCell ref="P1179:P1180"/>
    <mergeCell ref="H1182:H1183"/>
    <mergeCell ref="P1182:P1184"/>
    <mergeCell ref="L1169:L1171"/>
    <mergeCell ref="H1169:I1171"/>
    <mergeCell ref="H1179:I1181"/>
    <mergeCell ref="M1179:M1180"/>
    <mergeCell ref="A316:B316"/>
    <mergeCell ref="C316:D316"/>
    <mergeCell ref="A325:B325"/>
    <mergeCell ref="C325:D325"/>
    <mergeCell ref="A334:B334"/>
    <mergeCell ref="J747:Q747"/>
    <mergeCell ref="B589:B590"/>
    <mergeCell ref="B601:B602"/>
    <mergeCell ref="A477:A478"/>
    <mergeCell ref="C334:D334"/>
    <mergeCell ref="R1182:R1184"/>
    <mergeCell ref="L1172:L1174"/>
    <mergeCell ref="O1172:O1174"/>
    <mergeCell ref="R1179:R1181"/>
    <mergeCell ref="R1169:R1171"/>
    <mergeCell ref="R1172:R1174"/>
    <mergeCell ref="O1169:O1171"/>
    <mergeCell ref="L1179:L1181"/>
    <mergeCell ref="Q1175:Q1176"/>
    <mergeCell ref="A944:H944"/>
    <mergeCell ref="A1048:D1048"/>
    <mergeCell ref="A1055:D1055"/>
    <mergeCell ref="A1062:D1062"/>
    <mergeCell ref="B1120:B1121"/>
    <mergeCell ref="P1172:P1174"/>
    <mergeCell ref="H1172:H1173"/>
    <mergeCell ref="M1169:M1170"/>
    <mergeCell ref="C1157:C1159"/>
    <mergeCell ref="C1620:D1620"/>
    <mergeCell ref="C1612:D1612"/>
    <mergeCell ref="J1345:J1346"/>
    <mergeCell ref="J1347:J1348"/>
    <mergeCell ref="F957:F960"/>
    <mergeCell ref="J756:Q756"/>
    <mergeCell ref="J757:Q757"/>
    <mergeCell ref="J758:Q758"/>
    <mergeCell ref="J759:Q759"/>
    <mergeCell ref="J760:Q760"/>
  </mergeCells>
  <printOptions horizontalCentered="1"/>
  <pageMargins left="0" right="0" top="0.3937007874015748" bottom="0" header="0.31496062992125984" footer="0.31496062992125984"/>
  <pageSetup orientation="portrait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9.57421875" style="8" bestFit="1" customWidth="1"/>
    <col min="2" max="2" width="9.140625" style="8" customWidth="1"/>
    <col min="3" max="3" width="12.00390625" style="8" bestFit="1" customWidth="1"/>
    <col min="4" max="7" width="9.140625" style="8" customWidth="1"/>
    <col min="8" max="8" width="10.00390625" style="8" bestFit="1" customWidth="1"/>
    <col min="9" max="9" width="12.00390625" style="8" bestFit="1" customWidth="1"/>
    <col min="10" max="13" width="12.00390625" style="8" customWidth="1"/>
    <col min="14" max="14" width="9.28125" style="8" bestFit="1" customWidth="1"/>
    <col min="15" max="15" width="11.00390625" style="8" bestFit="1" customWidth="1"/>
    <col min="16" max="16384" width="9.140625" style="8" customWidth="1"/>
  </cols>
  <sheetData>
    <row r="1" spans="7:16" ht="15">
      <c r="G1" s="7" t="s">
        <v>30</v>
      </c>
      <c r="H1" s="7" t="s">
        <v>31</v>
      </c>
      <c r="I1" s="7" t="s">
        <v>32</v>
      </c>
      <c r="J1" s="7" t="s">
        <v>34</v>
      </c>
      <c r="K1" s="7" t="s">
        <v>40</v>
      </c>
      <c r="L1" s="7" t="s">
        <v>11</v>
      </c>
      <c r="M1" s="7" t="s">
        <v>29</v>
      </c>
      <c r="N1" s="7" t="s">
        <v>39</v>
      </c>
      <c r="O1" s="7" t="s">
        <v>33</v>
      </c>
      <c r="P1" s="7"/>
    </row>
    <row r="2" spans="1:17" ht="15">
      <c r="A2" s="8">
        <f>0.62/100</f>
        <v>0.0062</v>
      </c>
      <c r="C2" s="8">
        <v>4.1</v>
      </c>
      <c r="D2" s="8">
        <v>0.1</v>
      </c>
      <c r="F2" s="8" t="s">
        <v>26</v>
      </c>
      <c r="G2" s="18">
        <v>6000</v>
      </c>
      <c r="H2" s="8">
        <v>30</v>
      </c>
      <c r="I2" s="12">
        <f>+G2/H2</f>
        <v>200</v>
      </c>
      <c r="J2" s="18">
        <f>+I2+I21</f>
        <v>24.59333626389747</v>
      </c>
      <c r="K2" s="9">
        <f>+J2/3</f>
        <v>8.19777875463249</v>
      </c>
      <c r="L2" s="11">
        <f>+J2/$J$5</f>
        <v>0.04918667252779494</v>
      </c>
      <c r="M2" s="12">
        <f>+K2^2/(K3*K4)</f>
        <v>0.011199999999999957</v>
      </c>
      <c r="N2" s="12">
        <f>+(L2^2)/(L3*L4)</f>
        <v>0.011199999999999958</v>
      </c>
      <c r="O2" s="12">
        <f>+L2^2/(L3*L4)</f>
        <v>0.011199999999999958</v>
      </c>
      <c r="P2" s="12"/>
      <c r="Q2" s="12"/>
    </row>
    <row r="3" spans="1:15" ht="15">
      <c r="A3" s="11">
        <v>0.02</v>
      </c>
      <c r="C3" s="8">
        <f>10^-C2</f>
        <v>7.943282347242815E-05</v>
      </c>
      <c r="D3" s="8">
        <f>10^-D2</f>
        <v>0.7943282347242815</v>
      </c>
      <c r="F3" s="8" t="s">
        <v>27</v>
      </c>
      <c r="G3" s="8">
        <v>5600</v>
      </c>
      <c r="H3" s="8">
        <v>28</v>
      </c>
      <c r="I3" s="12">
        <f>+G3/H3</f>
        <v>200</v>
      </c>
      <c r="J3" s="18">
        <f>+I3-(0.5*I21)</f>
        <v>287.70333186805124</v>
      </c>
      <c r="K3" s="18">
        <f>+J3/3</f>
        <v>95.90111062268375</v>
      </c>
      <c r="L3" s="16">
        <f>+J3/$J$5</f>
        <v>0.5754066637361025</v>
      </c>
      <c r="M3" s="10"/>
      <c r="N3" s="10"/>
      <c r="O3" s="10"/>
    </row>
    <row r="4" spans="1:15" ht="15">
      <c r="A4" s="8">
        <f>+A2*A3</f>
        <v>0.000124</v>
      </c>
      <c r="C4" s="8">
        <f>+LOG10(C3)</f>
        <v>-4.1</v>
      </c>
      <c r="D4" s="8">
        <f>+LOG10(D3)</f>
        <v>-0.1</v>
      </c>
      <c r="F4" s="8" t="s">
        <v>28</v>
      </c>
      <c r="G4" s="8">
        <v>3200</v>
      </c>
      <c r="H4" s="8">
        <v>32</v>
      </c>
      <c r="I4" s="12">
        <f>+G4/H4</f>
        <v>100</v>
      </c>
      <c r="J4" s="18">
        <f>+I4-(0.5*I21)</f>
        <v>187.70333186805127</v>
      </c>
      <c r="K4" s="18">
        <f>+J4/3</f>
        <v>62.567777289350424</v>
      </c>
      <c r="L4" s="16">
        <f>+J4/$J$5</f>
        <v>0.37540666373610254</v>
      </c>
      <c r="M4" s="10"/>
      <c r="N4" s="10"/>
      <c r="O4" s="10"/>
    </row>
    <row r="5" spans="1:15" ht="15">
      <c r="A5" s="8">
        <f>+A4^2/(A3-A4)</f>
        <v>7.735962970416584E-07</v>
      </c>
      <c r="C5" s="8">
        <f>0.059*C4</f>
        <v>-0.24189999999999998</v>
      </c>
      <c r="D5" s="8">
        <f>0.059*D4</f>
        <v>-0.0059</v>
      </c>
      <c r="I5" s="12">
        <f>+SUM(I2:I4)</f>
        <v>500</v>
      </c>
      <c r="J5" s="18">
        <f>(+SUM(J2:J4))</f>
        <v>500</v>
      </c>
      <c r="K5" s="12"/>
      <c r="L5" s="11">
        <f>(+SUM(L2:L4))</f>
        <v>1</v>
      </c>
      <c r="M5" s="10"/>
      <c r="N5" s="10"/>
      <c r="O5" s="10"/>
    </row>
    <row r="6" spans="1:4" ht="15">
      <c r="A6" s="16">
        <f>-LOG10(A4)</f>
        <v>3.906578314837765</v>
      </c>
      <c r="C6" s="8" t="s">
        <v>24</v>
      </c>
      <c r="D6" s="8" t="s">
        <v>23</v>
      </c>
    </row>
    <row r="7" spans="3:15" ht="15">
      <c r="C7" s="8" t="s">
        <v>25</v>
      </c>
      <c r="D7" s="13">
        <f>+D5-C5</f>
        <v>0.236</v>
      </c>
      <c r="H7" s="12">
        <v>0.0112</v>
      </c>
      <c r="I7" s="10">
        <f>200*200</f>
        <v>40000</v>
      </c>
      <c r="J7" s="10">
        <f>200*100</f>
        <v>20000</v>
      </c>
      <c r="K7" s="10"/>
      <c r="L7" s="10">
        <f>+H7*20000</f>
        <v>224</v>
      </c>
      <c r="M7" s="10"/>
      <c r="N7" s="10"/>
      <c r="O7" s="19">
        <f>1-J9</f>
        <v>0.9972</v>
      </c>
    </row>
    <row r="8" spans="9:15" ht="15">
      <c r="I8" s="10">
        <f>+I2*0.5</f>
        <v>100</v>
      </c>
      <c r="J8" s="10">
        <f>+H7*150</f>
        <v>1.68</v>
      </c>
      <c r="K8" s="10"/>
      <c r="L8" s="10"/>
      <c r="M8" s="10"/>
      <c r="N8" s="10"/>
      <c r="O8" s="19">
        <f>400+J8</f>
        <v>401.68</v>
      </c>
    </row>
    <row r="9" spans="9:15" ht="15">
      <c r="I9" s="10"/>
      <c r="J9" s="10">
        <f>+H7*0.25</f>
        <v>0.0028</v>
      </c>
      <c r="K9" s="10"/>
      <c r="L9" s="10"/>
      <c r="M9" s="10"/>
      <c r="O9" s="17">
        <f>+I7-L7</f>
        <v>39776</v>
      </c>
    </row>
    <row r="10" spans="9:13" ht="15">
      <c r="I10" s="10"/>
      <c r="J10" s="10"/>
      <c r="K10" s="10"/>
      <c r="L10" s="10"/>
      <c r="M10" s="10"/>
    </row>
    <row r="11" spans="1:13" ht="15">
      <c r="A11" s="8">
        <v>1.5</v>
      </c>
      <c r="B11" s="8" t="s">
        <v>18</v>
      </c>
      <c r="I11" s="10"/>
      <c r="J11" s="10"/>
      <c r="K11" s="10"/>
      <c r="L11" s="10"/>
      <c r="M11" s="10"/>
    </row>
    <row r="12" spans="1:13" ht="15">
      <c r="A12" s="8">
        <f>10^-A11</f>
        <v>0.031622776601683784</v>
      </c>
      <c r="B12" s="8" t="s">
        <v>19</v>
      </c>
      <c r="I12" s="10"/>
      <c r="J12" s="10"/>
      <c r="K12" s="10"/>
      <c r="L12" s="10"/>
      <c r="M12" s="10"/>
    </row>
    <row r="13" spans="1:13" ht="15">
      <c r="A13" s="12">
        <v>0.00096</v>
      </c>
      <c r="B13" s="8" t="s">
        <v>37</v>
      </c>
      <c r="I13" s="10"/>
      <c r="J13" s="10"/>
      <c r="K13" s="10"/>
      <c r="L13" s="10"/>
      <c r="M13" s="10"/>
    </row>
    <row r="14" spans="1:2" ht="15">
      <c r="A14" s="14">
        <f>+(A12^2-A13*A12)/A13</f>
        <v>1.0100438900649822</v>
      </c>
      <c r="B14" s="8" t="s">
        <v>38</v>
      </c>
    </row>
    <row r="15" spans="1:2" ht="15">
      <c r="A15" s="10">
        <f>+A14-A12</f>
        <v>0.9784211134632984</v>
      </c>
      <c r="B15" s="8" t="s">
        <v>36</v>
      </c>
    </row>
    <row r="16" spans="1:13" ht="15">
      <c r="A16" s="16">
        <f>+A15/A14</f>
        <v>0.9686916807153308</v>
      </c>
      <c r="B16" s="8" t="s">
        <v>35</v>
      </c>
      <c r="H16" s="15" t="s">
        <v>0</v>
      </c>
      <c r="I16" s="12">
        <f>O7</f>
        <v>0.9972</v>
      </c>
      <c r="J16" s="10"/>
      <c r="K16" s="10"/>
      <c r="L16" s="10"/>
      <c r="M16" s="10"/>
    </row>
    <row r="17" spans="8:13" ht="15">
      <c r="H17" s="15" t="s">
        <v>2</v>
      </c>
      <c r="I17" s="12">
        <f>O8</f>
        <v>401.68</v>
      </c>
      <c r="J17" s="10"/>
      <c r="K17" s="10"/>
      <c r="L17" s="10"/>
      <c r="M17" s="10"/>
    </row>
    <row r="18" spans="8:13" ht="15">
      <c r="H18" s="15" t="s">
        <v>4</v>
      </c>
      <c r="I18" s="10">
        <f>O9</f>
        <v>39776</v>
      </c>
      <c r="J18" s="10"/>
      <c r="K18" s="10"/>
      <c r="L18" s="10"/>
      <c r="M18" s="10"/>
    </row>
    <row r="19" spans="8:13" ht="15">
      <c r="H19" s="3" t="s">
        <v>7</v>
      </c>
      <c r="I19" s="1">
        <f>+(I17^2)-4*I16*I18</f>
        <v>2688.313599999994</v>
      </c>
      <c r="J19" s="1"/>
      <c r="K19" s="1"/>
      <c r="L19" s="1"/>
      <c r="M19" s="1"/>
    </row>
    <row r="20" spans="8:13" ht="15">
      <c r="H20" s="3" t="s">
        <v>6</v>
      </c>
      <c r="I20" s="1">
        <f>+SQRT(I19)</f>
        <v>51.84894984471715</v>
      </c>
      <c r="J20" s="1"/>
      <c r="K20" s="1"/>
      <c r="L20" s="1"/>
      <c r="M20" s="1"/>
    </row>
    <row r="21" spans="8:13" ht="15">
      <c r="H21" s="4" t="s">
        <v>8</v>
      </c>
      <c r="I21" s="6">
        <f>+(-I17+I20)/(2*I16)</f>
        <v>-175.40666373610253</v>
      </c>
      <c r="J21" s="5"/>
      <c r="K21" s="5"/>
      <c r="L21" s="5"/>
      <c r="M21" s="5"/>
    </row>
    <row r="22" spans="8:13" ht="15">
      <c r="H22" s="4" t="s">
        <v>9</v>
      </c>
      <c r="I22" s="2">
        <f>+(-I17-I20)/(2*I16)</f>
        <v>-227.40119827753568</v>
      </c>
      <c r="J22" s="2"/>
      <c r="K22" s="2"/>
      <c r="L22" s="2"/>
      <c r="M2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20.7109375" style="295" customWidth="1"/>
    <col min="5" max="7" width="9.140625" style="295" customWidth="1"/>
    <col min="8" max="8" width="10.57421875" style="295" bestFit="1" customWidth="1"/>
    <col min="9" max="9" width="9.140625" style="295" customWidth="1"/>
    <col min="10" max="10" width="9.57421875" style="295" bestFit="1" customWidth="1"/>
    <col min="11" max="16384" width="9.140625" style="295" customWidth="1"/>
  </cols>
  <sheetData>
    <row r="1" ht="15" customHeight="1"/>
    <row r="2" spans="1:2" ht="15" customHeight="1">
      <c r="A2" s="367" t="s">
        <v>179</v>
      </c>
      <c r="B2" s="296" t="s">
        <v>570</v>
      </c>
    </row>
    <row r="3" spans="1:2" s="301" customFormat="1" ht="15" customHeight="1">
      <c r="A3" s="368"/>
      <c r="B3" s="371" t="s">
        <v>572</v>
      </c>
    </row>
    <row r="4" spans="1:2" ht="15" customHeight="1">
      <c r="A4" s="297" t="s">
        <v>180</v>
      </c>
      <c r="B4" s="297" t="s">
        <v>477</v>
      </c>
    </row>
    <row r="5" spans="1:10" ht="15" customHeight="1">
      <c r="A5" s="369">
        <v>23</v>
      </c>
      <c r="B5" s="370">
        <v>0.9975415</v>
      </c>
      <c r="H5" s="302"/>
      <c r="I5" s="269"/>
      <c r="J5" s="302"/>
    </row>
    <row r="6" spans="1:2" ht="15" customHeight="1">
      <c r="A6" s="369">
        <v>24</v>
      </c>
      <c r="B6" s="370">
        <v>0.9972995</v>
      </c>
    </row>
    <row r="7" spans="1:2" ht="15" customHeight="1">
      <c r="A7" s="369">
        <v>25</v>
      </c>
      <c r="B7" s="370">
        <v>0.9970479</v>
      </c>
    </row>
    <row r="8" spans="1:2" ht="15" customHeight="1">
      <c r="A8" s="298" t="s">
        <v>568</v>
      </c>
      <c r="B8" s="299">
        <f>+SLOPE(B5:B7,A5:A7)</f>
        <v>-0.00024679999999999147</v>
      </c>
    </row>
    <row r="9" spans="1:2" ht="15" customHeight="1">
      <c r="A9" s="298" t="s">
        <v>569</v>
      </c>
      <c r="B9" s="299">
        <f>+INTERCEPT(B5:B7,A5:A7)</f>
        <v>1.0032194999999997</v>
      </c>
    </row>
    <row r="10" ht="15" customHeight="1"/>
    <row r="11" spans="1:2" ht="15" customHeight="1">
      <c r="A11" s="383">
        <v>29</v>
      </c>
      <c r="B11" s="384">
        <f>+A11*$B$8+$B$9</f>
        <v>0.9960623</v>
      </c>
    </row>
    <row r="12" ht="15" customHeight="1"/>
    <row r="13" ht="15" customHeight="1"/>
    <row r="14" ht="15" customHeight="1"/>
    <row r="15" ht="15" customHeight="1"/>
    <row r="16" spans="1:3" ht="39.75" customHeight="1">
      <c r="A16" s="372" t="s">
        <v>573</v>
      </c>
      <c r="B16" s="367" t="s">
        <v>179</v>
      </c>
      <c r="C16" s="377" t="s">
        <v>571</v>
      </c>
    </row>
    <row r="17" spans="1:3" ht="15" customHeight="1">
      <c r="A17" s="373"/>
      <c r="B17" s="368"/>
      <c r="C17" s="378"/>
    </row>
    <row r="18" spans="1:10" ht="15">
      <c r="A18" s="374" t="s">
        <v>197</v>
      </c>
      <c r="B18" s="297" t="s">
        <v>180</v>
      </c>
      <c r="C18" s="379" t="s">
        <v>197</v>
      </c>
      <c r="H18" s="303"/>
      <c r="I18" s="269"/>
      <c r="J18" s="302"/>
    </row>
    <row r="19" spans="1:8" ht="15">
      <c r="A19" s="375">
        <f>1/B5</f>
        <v>1.002464559118593</v>
      </c>
      <c r="B19" s="369">
        <v>23</v>
      </c>
      <c r="C19" s="380">
        <f>+A19+(A19*0.1/100)</f>
        <v>1.0034670236777117</v>
      </c>
      <c r="H19" s="302"/>
    </row>
    <row r="20" spans="1:8" ht="15">
      <c r="A20" s="375">
        <f>1/B6</f>
        <v>1.0027078124475146</v>
      </c>
      <c r="B20" s="369">
        <v>24</v>
      </c>
      <c r="C20" s="380">
        <f>+A20+(A20*0.1/100)</f>
        <v>1.003710520259962</v>
      </c>
      <c r="H20" s="302"/>
    </row>
    <row r="21" spans="1:3" ht="15">
      <c r="A21" s="375">
        <f>1/B7</f>
        <v>1.002960840697824</v>
      </c>
      <c r="B21" s="369">
        <v>25</v>
      </c>
      <c r="C21" s="380">
        <f>+A21+(A21*0.1/100)</f>
        <v>1.003963801538522</v>
      </c>
    </row>
    <row r="22" spans="1:3" ht="15">
      <c r="A22" s="376">
        <f>+SLOPE(A19:A21,B19:B21)</f>
        <v>0.0002481407896155474</v>
      </c>
      <c r="B22" s="298" t="s">
        <v>568</v>
      </c>
      <c r="C22" s="381">
        <f>+SLOPE(C19:C21,B19:B21)</f>
        <v>0.0002483889304051301</v>
      </c>
    </row>
    <row r="23" spans="1:3" ht="15">
      <c r="A23" s="376">
        <f>+INTERCEPT(A19:A21,B19:B21)</f>
        <v>0.9967556918038707</v>
      </c>
      <c r="B23" s="298" t="s">
        <v>569</v>
      </c>
      <c r="C23" s="381">
        <f>+INTERCEPT(C19:C21,B19:B21)</f>
        <v>0.9977524474956756</v>
      </c>
    </row>
    <row r="25" spans="1:3" ht="39.75" customHeight="1">
      <c r="A25" s="372" t="s">
        <v>573</v>
      </c>
      <c r="B25" s="367" t="s">
        <v>179</v>
      </c>
      <c r="C25" s="377" t="s">
        <v>571</v>
      </c>
    </row>
    <row r="26" spans="1:3" ht="15" customHeight="1">
      <c r="A26" s="373"/>
      <c r="B26" s="368"/>
      <c r="C26" s="378"/>
    </row>
    <row r="27" spans="1:3" ht="15" customHeight="1">
      <c r="A27" s="374" t="s">
        <v>197</v>
      </c>
      <c r="B27" s="297" t="s">
        <v>180</v>
      </c>
      <c r="C27" s="379" t="s">
        <v>197</v>
      </c>
    </row>
    <row r="28" spans="1:3" ht="15">
      <c r="A28" s="375">
        <f>+B28*$A$22+$A$23</f>
        <v>1.0024629299650283</v>
      </c>
      <c r="B28" s="382">
        <v>23</v>
      </c>
      <c r="C28" s="380">
        <f>+A28+(A28*0.1/100)</f>
        <v>1.0034653928949933</v>
      </c>
    </row>
    <row r="29" spans="1:3" s="301" customFormat="1" ht="15">
      <c r="A29" s="375">
        <f>+B29*$A$22+$A$23</f>
        <v>1.0024877440439899</v>
      </c>
      <c r="B29" s="382">
        <v>23.1</v>
      </c>
      <c r="C29" s="380">
        <f aca="true" t="shared" si="0" ref="C29:C35">+A29+(A29*0.1/100)</f>
        <v>1.0034902317880339</v>
      </c>
    </row>
    <row r="30" spans="1:3" s="301" customFormat="1" ht="15">
      <c r="A30" s="375">
        <f>+B30*$A$22+$A$23</f>
        <v>1.0025373722019129</v>
      </c>
      <c r="B30" s="382">
        <v>23.3</v>
      </c>
      <c r="C30" s="380">
        <f t="shared" si="0"/>
        <v>1.0035399095741149</v>
      </c>
    </row>
    <row r="31" spans="1:3" s="301" customFormat="1" ht="15">
      <c r="A31" s="375">
        <f>+B31*$A$22+$A$23</f>
        <v>1.0026614425967206</v>
      </c>
      <c r="B31" s="382">
        <v>23.8</v>
      </c>
      <c r="C31" s="380">
        <f t="shared" si="0"/>
        <v>1.0036641040393173</v>
      </c>
    </row>
    <row r="32" spans="1:3" ht="15">
      <c r="A32" s="375">
        <f>+B32*$A$22+$A$23</f>
        <v>1.0027110707546438</v>
      </c>
      <c r="B32" s="382">
        <v>24</v>
      </c>
      <c r="C32" s="380">
        <f t="shared" si="0"/>
        <v>1.0037137818253985</v>
      </c>
    </row>
    <row r="33" spans="1:3" s="301" customFormat="1" ht="15">
      <c r="A33" s="375">
        <f>+B33*$A$22+$A$23</f>
        <v>1.0028351411494516</v>
      </c>
      <c r="B33" s="382">
        <v>24.5</v>
      </c>
      <c r="C33" s="380">
        <f t="shared" si="0"/>
        <v>1.0038379762906011</v>
      </c>
    </row>
    <row r="34" spans="1:3" ht="15">
      <c r="A34" s="375">
        <f>+B34*$A$22+$A$23</f>
        <v>1.0029592115442594</v>
      </c>
      <c r="B34" s="382">
        <v>25</v>
      </c>
      <c r="C34" s="380">
        <f t="shared" si="0"/>
        <v>1.0039621707558037</v>
      </c>
    </row>
    <row r="35" spans="1:3" ht="15">
      <c r="A35" s="375">
        <f>+B35*$A$22+$A$23</f>
        <v>1.0038277043079138</v>
      </c>
      <c r="B35" s="382">
        <v>28.5</v>
      </c>
      <c r="C35" s="380">
        <f t="shared" si="0"/>
        <v>1.0048315320122216</v>
      </c>
    </row>
    <row r="36" spans="1:3" ht="15">
      <c r="A36" s="299">
        <f>+SLOPE(A28:A35,B28:B35)</f>
        <v>0.0002481407896155516</v>
      </c>
      <c r="B36" s="298" t="s">
        <v>568</v>
      </c>
      <c r="C36" s="299">
        <f>+SLOPE(C28:C35,B28:B35)</f>
        <v>0.00024838893040515786</v>
      </c>
    </row>
    <row r="37" spans="1:3" ht="15">
      <c r="A37" s="299">
        <f>+INTERCEPT(A28:A35,B28:B35)</f>
        <v>0.9967556918038706</v>
      </c>
      <c r="B37" s="298" t="s">
        <v>569</v>
      </c>
      <c r="C37" s="299">
        <f>+INTERCEPT(C33:C35,B33:B35)</f>
        <v>0.9977524474956755</v>
      </c>
    </row>
    <row r="39" spans="1:3" ht="15">
      <c r="A39" s="375">
        <f>+B39*$A$22+$A$23</f>
        <v>1.0029095833863362</v>
      </c>
      <c r="B39" s="300">
        <v>24.8</v>
      </c>
      <c r="C39" s="385">
        <f>+B39*$C$36+$C$37</f>
        <v>1.0039124929697234</v>
      </c>
    </row>
  </sheetData>
  <sheetProtection/>
  <mergeCells count="7">
    <mergeCell ref="B16:B17"/>
    <mergeCell ref="A16:A17"/>
    <mergeCell ref="A2:A3"/>
    <mergeCell ref="C16:C17"/>
    <mergeCell ref="B25:B26"/>
    <mergeCell ref="C25:C26"/>
    <mergeCell ref="A25:A26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2016-06-05T16:21:59Z</cp:lastPrinted>
  <dcterms:created xsi:type="dcterms:W3CDTF">2016-01-08T19:37:45Z</dcterms:created>
  <dcterms:modified xsi:type="dcterms:W3CDTF">2016-07-16T12:33:09Z</dcterms:modified>
  <cp:category/>
  <cp:version/>
  <cp:contentType/>
  <cp:contentStatus/>
</cp:coreProperties>
</file>